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<sst xmlns="http://schemas.openxmlformats.org/spreadsheetml/2006/main" count="284" uniqueCount="88">
  <si>
    <t>R</t>
  </si>
  <si>
    <t>G</t>
  </si>
  <si>
    <t>B</t>
  </si>
  <si>
    <t>Y</t>
  </si>
  <si>
    <t>C</t>
  </si>
  <si>
    <t>M</t>
  </si>
  <si>
    <t>Red</t>
  </si>
  <si>
    <t>Green</t>
  </si>
  <si>
    <t>Blue</t>
  </si>
  <si>
    <t>Coefficient</t>
  </si>
  <si>
    <t>Encode</t>
  </si>
  <si>
    <t>Rec. 601</t>
  </si>
  <si>
    <t>Pb</t>
  </si>
  <si>
    <t>Pr</t>
  </si>
  <si>
    <t>Decode</t>
  </si>
  <si>
    <t>Output</t>
  </si>
  <si>
    <t>Reference</t>
  </si>
  <si>
    <t>Rec. 709</t>
  </si>
  <si>
    <t>x</t>
  </si>
  <si>
    <t>y</t>
  </si>
  <si>
    <t>CIELAB</t>
  </si>
  <si>
    <t>L</t>
  </si>
  <si>
    <t>S</t>
  </si>
  <si>
    <t>H</t>
  </si>
  <si>
    <t>Cred</t>
  </si>
  <si>
    <t>Cgreen</t>
  </si>
  <si>
    <t>Cblue</t>
  </si>
  <si>
    <t>SMPTE 240M</t>
  </si>
  <si>
    <t>GammaR</t>
  </si>
  <si>
    <t>GammaG</t>
  </si>
  <si>
    <t>GammaB</t>
  </si>
  <si>
    <t>X</t>
  </si>
  <si>
    <t>Z</t>
  </si>
  <si>
    <t>SMPTE-C</t>
  </si>
  <si>
    <t>EBU</t>
  </si>
  <si>
    <t>DCI</t>
  </si>
  <si>
    <t>W</t>
  </si>
  <si>
    <t>z</t>
  </si>
  <si>
    <t>Xr</t>
  </si>
  <si>
    <t>Yr</t>
  </si>
  <si>
    <t>Zr</t>
  </si>
  <si>
    <t>Fx</t>
  </si>
  <si>
    <t>Fy</t>
  </si>
  <si>
    <t>Fz</t>
  </si>
  <si>
    <t>a</t>
  </si>
  <si>
    <t>b</t>
  </si>
  <si>
    <t>yr</t>
  </si>
  <si>
    <t>u'r</t>
  </si>
  <si>
    <t>v'r</t>
  </si>
  <si>
    <t>u'</t>
  </si>
  <si>
    <t>v'</t>
  </si>
  <si>
    <t>u</t>
  </si>
  <si>
    <t>v</t>
  </si>
  <si>
    <t xml:space="preserve">Red </t>
  </si>
  <si>
    <t>PAL</t>
  </si>
  <si>
    <t xml:space="preserve">Green </t>
  </si>
  <si>
    <t xml:space="preserve">Blue </t>
  </si>
  <si>
    <t>Custom Gamut</t>
  </si>
  <si>
    <t>Yellow</t>
  </si>
  <si>
    <t>Cyan</t>
  </si>
  <si>
    <t>CIELUV</t>
  </si>
  <si>
    <t>Magenta</t>
  </si>
  <si>
    <t>White</t>
  </si>
  <si>
    <t>CIE94</t>
  </si>
  <si>
    <t>dELAB</t>
  </si>
  <si>
    <t>dELUV</t>
  </si>
  <si>
    <t>%L</t>
  </si>
  <si>
    <t>%S</t>
  </si>
  <si>
    <t>%H</t>
  </si>
  <si>
    <t>CIEDE2000</t>
  </si>
  <si>
    <t>Color Decoding Analysis</t>
  </si>
  <si>
    <t>Color Error</t>
  </si>
  <si>
    <t>ΔL</t>
  </si>
  <si>
    <t>ΔC</t>
  </si>
  <si>
    <t>ΔH</t>
  </si>
  <si>
    <t>C1</t>
  </si>
  <si>
    <t>C2</t>
  </si>
  <si>
    <t>Δa</t>
  </si>
  <si>
    <t>Δb</t>
  </si>
  <si>
    <t>SL</t>
  </si>
  <si>
    <t>SC</t>
  </si>
  <si>
    <t>SH</t>
  </si>
  <si>
    <t>KL</t>
  </si>
  <si>
    <t>KC</t>
  </si>
  <si>
    <t>KH</t>
  </si>
  <si>
    <t>K1</t>
  </si>
  <si>
    <t>K2</t>
  </si>
  <si>
    <t>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</si>
</sst>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57" applyNumberFormat="1" applyFont="1" applyAlignment="1">
      <alignment/>
    </xf>
    <xf numFmtId="164" fontId="1" fillId="0" borderId="0" xfId="57" applyNumberFormat="1" applyFont="1" applyAlignment="1">
      <alignment horizontal="center"/>
    </xf>
    <xf numFmtId="0" fontId="1" fillId="0" borderId="0" xfId="0" applyFont="1" applyAlignment="1">
      <alignment/>
    </xf>
    <xf numFmtId="9" fontId="0" fillId="0" borderId="0" xfId="57" applyFont="1" applyAlignment="1">
      <alignment/>
    </xf>
    <xf numFmtId="165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166" fontId="0" fillId="0" borderId="0" xfId="57" applyNumberFormat="1" applyFont="1" applyAlignment="1">
      <alignment/>
    </xf>
    <xf numFmtId="164" fontId="3" fillId="0" borderId="0" xfId="57" applyNumberFormat="1" applyFont="1" applyAlignment="1">
      <alignment/>
    </xf>
    <xf numFmtId="9" fontId="3" fillId="0" borderId="0" xfId="57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164" fontId="0" fillId="33" borderId="0" xfId="57" applyNumberFormat="1" applyFont="1" applyFill="1" applyAlignment="1">
      <alignment/>
    </xf>
    <xf numFmtId="165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2" fillId="34" borderId="0" xfId="0" applyFont="1" applyFill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57" applyNumberFormat="1" applyFont="1" applyAlignment="1">
      <alignment/>
    </xf>
    <xf numFmtId="166" fontId="0" fillId="0" borderId="0" xfId="0" applyNumberFormat="1" applyFont="1" applyAlignment="1">
      <alignment/>
    </xf>
    <xf numFmtId="0" fontId="40" fillId="35" borderId="0" xfId="0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9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2.28125" style="0" customWidth="1"/>
    <col min="2" max="2" width="10.28125" style="0" customWidth="1"/>
    <col min="3" max="3" width="10.57421875" style="0" customWidth="1"/>
    <col min="4" max="4" width="10.140625" style="0" customWidth="1"/>
    <col min="14" max="14" width="8.57421875" style="0" customWidth="1"/>
  </cols>
  <sheetData>
    <row r="1" spans="1:17" ht="18">
      <c r="A1" s="36" t="s">
        <v>70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26"/>
      <c r="B2" s="27" t="s">
        <v>0</v>
      </c>
      <c r="C2" s="27" t="s">
        <v>1</v>
      </c>
      <c r="D2" s="27" t="s">
        <v>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28" t="s">
        <v>0</v>
      </c>
      <c r="B3" s="29">
        <v>1</v>
      </c>
      <c r="C3" s="29">
        <v>0</v>
      </c>
      <c r="D3" s="29">
        <v>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28" t="s">
        <v>1</v>
      </c>
      <c r="B4" s="29">
        <v>0</v>
      </c>
      <c r="C4" s="29">
        <v>1</v>
      </c>
      <c r="D4" s="29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8" t="s">
        <v>2</v>
      </c>
      <c r="B5" s="29">
        <v>0</v>
      </c>
      <c r="C5" s="29">
        <v>0</v>
      </c>
      <c r="D5" s="29">
        <v>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8" t="s">
        <v>3</v>
      </c>
      <c r="B6" s="29">
        <v>1</v>
      </c>
      <c r="C6" s="29">
        <v>1</v>
      </c>
      <c r="D6" s="29"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8" t="s">
        <v>4</v>
      </c>
      <c r="B7" s="29">
        <v>0</v>
      </c>
      <c r="C7" s="29">
        <v>1</v>
      </c>
      <c r="D7" s="29">
        <v>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2.75">
      <c r="A8" s="28" t="s">
        <v>5</v>
      </c>
      <c r="B8" s="29">
        <v>1</v>
      </c>
      <c r="C8" s="29">
        <v>0</v>
      </c>
      <c r="D8" s="29">
        <v>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2.75">
      <c r="A9" s="28"/>
      <c r="B9" s="29"/>
      <c r="C9" s="29"/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2.75">
      <c r="A10" s="28"/>
      <c r="B10" s="27" t="s">
        <v>6</v>
      </c>
      <c r="C10" s="27" t="s">
        <v>7</v>
      </c>
      <c r="D10" s="27" t="s">
        <v>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2.75">
      <c r="A11" s="28"/>
      <c r="B11" s="27" t="s">
        <v>9</v>
      </c>
      <c r="C11" s="27" t="s">
        <v>9</v>
      </c>
      <c r="D11" s="27" t="s">
        <v>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2.75">
      <c r="A12" s="26"/>
      <c r="B12" s="26">
        <f>IF($A$14="SMPTE 240M",K43,IF($A$14="Rec. 709",K41,K42))</f>
        <v>0.2989</v>
      </c>
      <c r="C12" s="26">
        <f>IF($A$14="SMPTE 240M",L43,IF($A$14="Rec. 709",L41,L42))</f>
        <v>0.5866</v>
      </c>
      <c r="D12" s="26">
        <f>IF($A$14="SMPTE 240M",M43,IF($A$14="Rec. 709",M41,M42))</f>
        <v>0.1145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2.75">
      <c r="A13" s="27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>
      <c r="A14" s="34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2.75">
      <c r="A15" s="26"/>
      <c r="B15" s="27" t="s">
        <v>3</v>
      </c>
      <c r="C15" s="27" t="s">
        <v>12</v>
      </c>
      <c r="D15" s="27" t="s">
        <v>13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75">
      <c r="A16" s="28" t="s">
        <v>0</v>
      </c>
      <c r="B16" s="30">
        <f>B40</f>
        <v>0.2989</v>
      </c>
      <c r="C16" s="30">
        <f>C40</f>
        <v>-0.16877470355731225</v>
      </c>
      <c r="D16" s="30">
        <f>D40</f>
        <v>0.5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2.75">
      <c r="A17" s="28" t="s">
        <v>1</v>
      </c>
      <c r="B17" s="30">
        <f aca="true" t="shared" si="0" ref="B17:D21">B41</f>
        <v>0.5866</v>
      </c>
      <c r="C17" s="30">
        <f t="shared" si="0"/>
        <v>-0.3312252964426878</v>
      </c>
      <c r="D17" s="30">
        <f t="shared" si="0"/>
        <v>-0.4183426044786763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2.75">
      <c r="A18" s="28" t="s">
        <v>2</v>
      </c>
      <c r="B18" s="30">
        <f t="shared" si="0"/>
        <v>0.1145</v>
      </c>
      <c r="C18" s="30">
        <f t="shared" si="0"/>
        <v>0.5</v>
      </c>
      <c r="D18" s="30">
        <f t="shared" si="0"/>
        <v>-0.08165739552132363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2.75">
      <c r="A19" s="28" t="s">
        <v>3</v>
      </c>
      <c r="B19" s="30">
        <f t="shared" si="0"/>
        <v>0.8855</v>
      </c>
      <c r="C19" s="30">
        <f t="shared" si="0"/>
        <v>-0.5</v>
      </c>
      <c r="D19" s="30">
        <f t="shared" si="0"/>
        <v>0.08165739552132366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>
      <c r="A20" s="28" t="s">
        <v>4</v>
      </c>
      <c r="B20" s="30">
        <f t="shared" si="0"/>
        <v>0.7011000000000001</v>
      </c>
      <c r="C20" s="30">
        <f t="shared" si="0"/>
        <v>0.16877470355731222</v>
      </c>
      <c r="D20" s="30">
        <f t="shared" si="0"/>
        <v>-0.5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.75">
      <c r="A21" s="28" t="s">
        <v>5</v>
      </c>
      <c r="B21" s="30">
        <f t="shared" si="0"/>
        <v>0.4134</v>
      </c>
      <c r="C21" s="30">
        <f t="shared" si="0"/>
        <v>0.3312252964426878</v>
      </c>
      <c r="D21" s="30">
        <f t="shared" si="0"/>
        <v>0.4183426044786763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26"/>
      <c r="B23" s="27" t="s">
        <v>6</v>
      </c>
      <c r="C23" s="27" t="s">
        <v>7</v>
      </c>
      <c r="D23" s="27" t="s">
        <v>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75">
      <c r="A24" s="26"/>
      <c r="B24" s="27" t="s">
        <v>9</v>
      </c>
      <c r="C24" s="27" t="s">
        <v>9</v>
      </c>
      <c r="D24" s="27" t="s">
        <v>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>
      <c r="A25" s="26"/>
      <c r="B25" s="26">
        <f>IF($A$27="SMPTE 240M",K43,IF($A$27="Rec. 709",K41,K42))</f>
        <v>0.2124</v>
      </c>
      <c r="C25" s="26">
        <f>IF($A$27="SMPTE 240M",L43,IF($A$27="Rec. 709",L41,L42))</f>
        <v>0.7011</v>
      </c>
      <c r="D25" s="26">
        <f>IF($A$27="SMPTE 240M",M43,IF($A$27="Rec. 709",M41,M42))</f>
        <v>0.0866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27" ht="13.5" thickBot="1">
      <c r="A26" s="27" t="s">
        <v>14</v>
      </c>
      <c r="B26" s="26"/>
      <c r="C26" s="26"/>
      <c r="D26" s="26"/>
      <c r="E26" s="35" t="s">
        <v>15</v>
      </c>
      <c r="F26" s="38"/>
      <c r="G26" s="38"/>
      <c r="H26" s="26"/>
      <c r="I26" s="35" t="s">
        <v>16</v>
      </c>
      <c r="J26" s="38"/>
      <c r="K26" s="38"/>
      <c r="L26" s="26"/>
      <c r="M26" s="28" t="s">
        <v>87</v>
      </c>
      <c r="N26" s="35" t="s">
        <v>71</v>
      </c>
      <c r="O26" s="38"/>
      <c r="P26" s="38"/>
      <c r="Q26" s="26"/>
      <c r="AA26" s="40" t="s">
        <v>60</v>
      </c>
    </row>
    <row r="27" spans="1:27" ht="12.75">
      <c r="A27" s="34" t="s">
        <v>27</v>
      </c>
      <c r="B27" s="27" t="s">
        <v>0</v>
      </c>
      <c r="C27" s="27" t="s">
        <v>1</v>
      </c>
      <c r="D27" s="27" t="s">
        <v>2</v>
      </c>
      <c r="E27" s="27" t="s">
        <v>18</v>
      </c>
      <c r="F27" s="27" t="s">
        <v>19</v>
      </c>
      <c r="G27" s="27" t="s">
        <v>3</v>
      </c>
      <c r="H27" s="26"/>
      <c r="I27" s="27" t="s">
        <v>18</v>
      </c>
      <c r="J27" s="27" t="s">
        <v>19</v>
      </c>
      <c r="K27" s="27" t="s">
        <v>3</v>
      </c>
      <c r="L27" s="26"/>
      <c r="M27" s="41" t="s">
        <v>63</v>
      </c>
      <c r="N27" s="27" t="s">
        <v>21</v>
      </c>
      <c r="O27" s="27" t="s">
        <v>22</v>
      </c>
      <c r="P27" s="27" t="s">
        <v>23</v>
      </c>
      <c r="Q27" s="26"/>
      <c r="AA27" s="40" t="s">
        <v>20</v>
      </c>
    </row>
    <row r="28" spans="1:27" ht="12.75">
      <c r="A28" s="28" t="s">
        <v>0</v>
      </c>
      <c r="B28" s="29">
        <f aca="true" t="shared" si="1" ref="B28:D33">F40</f>
        <v>1.0865</v>
      </c>
      <c r="C28" s="29">
        <f t="shared" si="1"/>
        <v>0.12337754956496934</v>
      </c>
      <c r="D28" s="29">
        <f t="shared" si="1"/>
        <v>-0.009417628458498029</v>
      </c>
      <c r="E28" s="31">
        <f aca="true" t="shared" si="2" ref="E28:G33">L58</f>
        <v>0.6236836917285161</v>
      </c>
      <c r="F28" s="31">
        <f t="shared" si="2"/>
        <v>0.34579240667432815</v>
      </c>
      <c r="G28" s="31">
        <f t="shared" si="2"/>
        <v>0.266401485775869</v>
      </c>
      <c r="H28" s="28" t="s">
        <v>0</v>
      </c>
      <c r="I28" s="31">
        <f aca="true" t="shared" si="3" ref="I28:K33">IF($A$14="Rec. 709",AV61,AV70)</f>
        <v>0.63</v>
      </c>
      <c r="J28" s="31">
        <f t="shared" si="3"/>
        <v>0.34</v>
      </c>
      <c r="K28" s="31">
        <f t="shared" si="3"/>
        <v>0.2124</v>
      </c>
      <c r="L28" s="26"/>
      <c r="M28" s="32">
        <f>IF($M$27="CIELUV",AC80,IF($M$27="CIELAB",AB80,AA89))</f>
        <v>3.461440737660948</v>
      </c>
      <c r="N28" s="33">
        <f aca="true" t="shared" si="4" ref="N28:P33">AD80</f>
        <v>0.10201974755224597</v>
      </c>
      <c r="O28" s="33">
        <f t="shared" si="4"/>
        <v>-0.03973768180143</v>
      </c>
      <c r="P28" s="33">
        <f t="shared" si="4"/>
        <v>0.01609670310716842</v>
      </c>
      <c r="Q28" s="26"/>
      <c r="AA28" s="40" t="s">
        <v>63</v>
      </c>
    </row>
    <row r="29" spans="1:17" ht="12.75">
      <c r="A29" s="28" t="s">
        <v>1</v>
      </c>
      <c r="B29" s="29">
        <f t="shared" si="1"/>
        <v>-0.07237327057481091</v>
      </c>
      <c r="C29" s="29">
        <f t="shared" si="1"/>
        <v>0.8366852089573528</v>
      </c>
      <c r="D29" s="29">
        <f t="shared" si="1"/>
        <v>-0.018482371541502007</v>
      </c>
      <c r="E29" s="31">
        <f t="shared" si="2"/>
        <v>0.30891841520613283</v>
      </c>
      <c r="F29" s="31">
        <f t="shared" si="2"/>
        <v>0.5973300978721966</v>
      </c>
      <c r="G29" s="31">
        <f t="shared" si="2"/>
        <v>0.46694067043666343</v>
      </c>
      <c r="H29" s="28" t="s">
        <v>1</v>
      </c>
      <c r="I29" s="31">
        <f t="shared" si="3"/>
        <v>0.31</v>
      </c>
      <c r="J29" s="31">
        <f t="shared" si="3"/>
        <v>0.595</v>
      </c>
      <c r="K29" s="31">
        <f t="shared" si="3"/>
        <v>0.7011</v>
      </c>
      <c r="L29" s="26"/>
      <c r="M29" s="32">
        <f>IF($M$27="CIELUV",AC81,IF($M$27="CIELAB",AB81,AA90))</f>
        <v>7.996636755416874</v>
      </c>
      <c r="N29" s="33">
        <f t="shared" si="4"/>
        <v>-0.14999441485179954</v>
      </c>
      <c r="O29" s="33">
        <f t="shared" si="4"/>
        <v>0.00730721121717437</v>
      </c>
      <c r="P29" s="33">
        <f t="shared" si="4"/>
        <v>0.003730282254736276</v>
      </c>
      <c r="Q29" s="26"/>
    </row>
    <row r="30" spans="1:17" ht="12.75">
      <c r="A30" s="28" t="s">
        <v>2</v>
      </c>
      <c r="B30" s="29">
        <f t="shared" si="1"/>
        <v>-0.014126729425188986</v>
      </c>
      <c r="C30" s="29">
        <f t="shared" si="1"/>
        <v>0.03979460847240053</v>
      </c>
      <c r="D30" s="29">
        <f t="shared" si="1"/>
        <v>1.0279</v>
      </c>
      <c r="E30" s="31">
        <f t="shared" si="2"/>
        <v>0.15518036453860956</v>
      </c>
      <c r="F30" s="31">
        <f t="shared" si="2"/>
        <v>0.07130369487168099</v>
      </c>
      <c r="G30" s="31">
        <f t="shared" si="2"/>
        <v>0.09412574325119108</v>
      </c>
      <c r="H30" s="28" t="s">
        <v>2</v>
      </c>
      <c r="I30" s="31">
        <f t="shared" si="3"/>
        <v>0.155</v>
      </c>
      <c r="J30" s="31">
        <f t="shared" si="3"/>
        <v>0.07</v>
      </c>
      <c r="K30" s="31">
        <f t="shared" si="3"/>
        <v>0.0866</v>
      </c>
      <c r="L30" s="26"/>
      <c r="M30" s="32">
        <f>IF($M$27="CIELUV",AC82,IF($M$27="CIELAB",AB82,AA91))</f>
        <v>0.9068439615751958</v>
      </c>
      <c r="N30" s="33">
        <f t="shared" si="4"/>
        <v>0.04092570654218863</v>
      </c>
      <c r="O30" s="33">
        <f t="shared" si="4"/>
        <v>-0.008563909032126893</v>
      </c>
      <c r="P30" s="33">
        <f t="shared" si="4"/>
        <v>-0.002471665039770225</v>
      </c>
      <c r="Q30" s="26"/>
    </row>
    <row r="31" spans="1:17" ht="12.75">
      <c r="A31" s="28" t="s">
        <v>3</v>
      </c>
      <c r="B31" s="29">
        <f t="shared" si="1"/>
        <v>1.014126729425189</v>
      </c>
      <c r="C31" s="29">
        <f t="shared" si="1"/>
        <v>0.960062758522322</v>
      </c>
      <c r="D31" s="29">
        <f t="shared" si="1"/>
        <v>-0.027900000000000036</v>
      </c>
      <c r="E31" s="31">
        <f t="shared" si="2"/>
        <v>0.43048830911638525</v>
      </c>
      <c r="F31" s="31">
        <f t="shared" si="2"/>
        <v>0.4999952865916076</v>
      </c>
      <c r="G31" s="31">
        <f t="shared" si="2"/>
        <v>0.8581855322991613</v>
      </c>
      <c r="H31" s="28" t="s">
        <v>3</v>
      </c>
      <c r="I31" s="31">
        <f t="shared" si="3"/>
        <v>0.4209</v>
      </c>
      <c r="J31" s="31">
        <f t="shared" si="3"/>
        <v>0.5067</v>
      </c>
      <c r="K31" s="31">
        <f t="shared" si="3"/>
        <v>0.9134</v>
      </c>
      <c r="L31" s="26"/>
      <c r="M31" s="32">
        <f>IF($M$27="CIELUV",AC83,IF($M$27="CIELAB",AB83,AA92))</f>
        <v>2.6729381272940773</v>
      </c>
      <c r="N31" s="33">
        <f t="shared" si="4"/>
        <v>-0.023978830818427666</v>
      </c>
      <c r="O31" s="33">
        <f t="shared" si="4"/>
        <v>0.0025890833009067915</v>
      </c>
      <c r="P31" s="33">
        <f t="shared" si="4"/>
        <v>-0.08080656341461771</v>
      </c>
      <c r="Q31" s="26"/>
    </row>
    <row r="32" spans="1:17" ht="12.75">
      <c r="A32" s="28" t="s">
        <v>4</v>
      </c>
      <c r="B32" s="29">
        <f t="shared" si="1"/>
        <v>-0.08649999999999991</v>
      </c>
      <c r="C32" s="29">
        <f t="shared" si="1"/>
        <v>0.8764798174297533</v>
      </c>
      <c r="D32" s="29">
        <f t="shared" si="1"/>
        <v>1.0094176284584981</v>
      </c>
      <c r="E32" s="31">
        <f t="shared" si="2"/>
        <v>0.21755827660847077</v>
      </c>
      <c r="F32" s="31">
        <f t="shared" si="2"/>
        <v>0.28451554361515824</v>
      </c>
      <c r="G32" s="31">
        <f t="shared" si="2"/>
        <v>0.6070293300237205</v>
      </c>
      <c r="H32" s="28" t="s">
        <v>4</v>
      </c>
      <c r="I32" s="31">
        <f t="shared" si="3"/>
        <v>0.2306</v>
      </c>
      <c r="J32" s="31">
        <f t="shared" si="3"/>
        <v>0.3262</v>
      </c>
      <c r="K32" s="31">
        <f t="shared" si="3"/>
        <v>0.7876</v>
      </c>
      <c r="L32" s="26"/>
      <c r="M32" s="32">
        <f>IF($M$27="CIELUV",AC84,IF($M$27="CIELAB",AB84,AA93))</f>
        <v>12.963862184077836</v>
      </c>
      <c r="N32" s="33">
        <f t="shared" si="4"/>
        <v>-0.0977421029664689</v>
      </c>
      <c r="O32" s="33">
        <f t="shared" si="4"/>
        <v>0.1656755115451236</v>
      </c>
      <c r="P32" s="33">
        <f t="shared" si="4"/>
        <v>0.3958873435538403</v>
      </c>
      <c r="Q32" s="26"/>
    </row>
    <row r="33" spans="1:17" ht="12.75">
      <c r="A33" s="28" t="s">
        <v>5</v>
      </c>
      <c r="B33" s="29">
        <f t="shared" si="1"/>
        <v>1.0723732705748108</v>
      </c>
      <c r="C33" s="29">
        <f t="shared" si="1"/>
        <v>0.1631721580373698</v>
      </c>
      <c r="D33" s="29">
        <f t="shared" si="1"/>
        <v>1.0184823715415021</v>
      </c>
      <c r="E33" s="31">
        <f t="shared" si="2"/>
        <v>0.3268334641754373</v>
      </c>
      <c r="F33" s="31">
        <f t="shared" si="2"/>
        <v>0.17339348118656125</v>
      </c>
      <c r="G33" s="31">
        <f t="shared" si="2"/>
        <v>0.35531218084560146</v>
      </c>
      <c r="H33" s="28" t="s">
        <v>5</v>
      </c>
      <c r="I33" s="31">
        <f t="shared" si="3"/>
        <v>0.3144</v>
      </c>
      <c r="J33" s="31">
        <f t="shared" si="3"/>
        <v>0.1606</v>
      </c>
      <c r="K33" s="31">
        <f t="shared" si="3"/>
        <v>0.2989</v>
      </c>
      <c r="L33" s="26"/>
      <c r="M33" s="32">
        <f>IF($M$27="CIELUV",AC85,IF($M$27="CIELAB",AB85,AA94))</f>
        <v>3.143677673153629</v>
      </c>
      <c r="N33" s="33">
        <f t="shared" si="4"/>
        <v>0.07474073598062736</v>
      </c>
      <c r="O33" s="33">
        <f t="shared" si="4"/>
        <v>-0.06859352871342717</v>
      </c>
      <c r="P33" s="33">
        <f t="shared" si="4"/>
        <v>0.07378049883404003</v>
      </c>
      <c r="Q33" s="26"/>
    </row>
    <row r="34" spans="1:17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6:7" ht="12.75">
      <c r="F37" s="6"/>
      <c r="G37" s="6"/>
    </row>
    <row r="39" ht="12.75" hidden="1"/>
    <row r="40" spans="2:13" ht="12.75" hidden="1">
      <c r="B40" s="4">
        <f>B12*B3+C12*C3+D12*D3</f>
        <v>0.2989</v>
      </c>
      <c r="C40" s="4">
        <f>(0-B16)/(2-2*D12)</f>
        <v>-0.16877470355731225</v>
      </c>
      <c r="D40" s="4">
        <f>(1-B16)/(2-2*B12)</f>
        <v>0.5</v>
      </c>
      <c r="F40" s="3">
        <f>D16*(2-2*B25)+B16</f>
        <v>1.0865</v>
      </c>
      <c r="G40" s="3">
        <f>(B16-D25*D3-B25*B3)/C25</f>
        <v>0.12337754956496934</v>
      </c>
      <c r="H40" s="3">
        <f>C16*(2-2*D25)+B16</f>
        <v>-0.009417628458498029</v>
      </c>
      <c r="K40" s="1" t="s">
        <v>24</v>
      </c>
      <c r="L40" s="1" t="s">
        <v>25</v>
      </c>
      <c r="M40" s="1" t="s">
        <v>26</v>
      </c>
    </row>
    <row r="41" spans="2:14" ht="12.75" hidden="1">
      <c r="B41" s="4">
        <f>(B12*B4)+(C12*C4)+(D12*D4)</f>
        <v>0.5866</v>
      </c>
      <c r="C41" s="4">
        <f>(0-B17)/(2-2*D12)</f>
        <v>-0.3312252964426878</v>
      </c>
      <c r="D41" s="4">
        <f>(0-B17)/(2-2*B12)</f>
        <v>-0.4183426044786763</v>
      </c>
      <c r="F41" s="3">
        <f>D17*(2-2*B25)+B17</f>
        <v>-0.07237327057481091</v>
      </c>
      <c r="G41" s="3">
        <f>(B17-D25*D4-B25*B4)/C25</f>
        <v>0.8366852089573528</v>
      </c>
      <c r="H41" s="3">
        <f>C17*(2-2*D25)+B17</f>
        <v>-0.018482371541502007</v>
      </c>
      <c r="K41">
        <v>0.2126</v>
      </c>
      <c r="L41">
        <v>0.7152</v>
      </c>
      <c r="M41">
        <v>0.0722</v>
      </c>
      <c r="N41" t="s">
        <v>17</v>
      </c>
    </row>
    <row r="42" spans="2:14" ht="12.75" hidden="1">
      <c r="B42" s="4">
        <f>B12*B5+C12*C5+D12*D5</f>
        <v>0.1145</v>
      </c>
      <c r="C42" s="4">
        <f>(1-B18)/(2-2*D12)</f>
        <v>0.5</v>
      </c>
      <c r="D42" s="4">
        <f>(0-B18)/(2-2*B12)</f>
        <v>-0.08165739552132363</v>
      </c>
      <c r="F42" s="3">
        <f>D18*(2-2*B25)+B18</f>
        <v>-0.014126729425188986</v>
      </c>
      <c r="G42" s="3">
        <f>(B18-D25*D5-B25*B5)/C25</f>
        <v>0.03979460847240053</v>
      </c>
      <c r="H42" s="3">
        <f>C18*(2-2*D25)+B18</f>
        <v>1.0279</v>
      </c>
      <c r="K42">
        <v>0.2989</v>
      </c>
      <c r="L42">
        <v>0.5866</v>
      </c>
      <c r="M42">
        <v>0.1145</v>
      </c>
      <c r="N42" t="s">
        <v>11</v>
      </c>
    </row>
    <row r="43" spans="2:14" ht="12.75" hidden="1">
      <c r="B43" s="4">
        <f>($B$12*B6)+($C$12*C6)+($D$12*D6)</f>
        <v>0.8855</v>
      </c>
      <c r="C43" s="4">
        <f>(0-B19)/(2-2*$D$12)</f>
        <v>-0.5</v>
      </c>
      <c r="D43" s="4">
        <f>(1-B19)/(2-2*$B$12)</f>
        <v>0.08165739552132366</v>
      </c>
      <c r="F43" s="3">
        <f>D19*(2-2*B25)+B19</f>
        <v>1.014126729425189</v>
      </c>
      <c r="G43" s="3">
        <f>(B19-D25*D6-B25*B6)/C25</f>
        <v>0.960062758522322</v>
      </c>
      <c r="H43" s="3">
        <f>C19*(2-2*D25)+B19</f>
        <v>-0.027900000000000036</v>
      </c>
      <c r="K43">
        <v>0.2124</v>
      </c>
      <c r="L43">
        <v>0.7011</v>
      </c>
      <c r="M43">
        <v>0.0866</v>
      </c>
      <c r="N43" t="s">
        <v>27</v>
      </c>
    </row>
    <row r="44" spans="2:8" ht="12.75" hidden="1">
      <c r="B44" s="4">
        <f>($B$12*B7)+($C$12*C7)+($D$12*D7)</f>
        <v>0.7011000000000001</v>
      </c>
      <c r="C44" s="4">
        <f>(1-B20)/(2-2*D12)</f>
        <v>0.16877470355731222</v>
      </c>
      <c r="D44" s="4">
        <f>(0-B20)/(2-2*B12)</f>
        <v>-0.5</v>
      </c>
      <c r="F44" s="3">
        <f>D20*(2-2*B25)+B20</f>
        <v>-0.08649999999999991</v>
      </c>
      <c r="G44" s="3">
        <f>(B20-D25*D7-B25*B7)/C25</f>
        <v>0.8764798174297533</v>
      </c>
      <c r="H44" s="3">
        <f>C20*(2-2*D25)+B20</f>
        <v>1.0094176284584981</v>
      </c>
    </row>
    <row r="45" spans="2:8" ht="12.75" hidden="1">
      <c r="B45" s="4">
        <f>(B12*B8)+(C12*C8)+(D12*D8)</f>
        <v>0.4134</v>
      </c>
      <c r="C45" s="4">
        <f>(1-B21)/(2-2*D12)</f>
        <v>0.3312252964426878</v>
      </c>
      <c r="D45" s="4">
        <f>(1-B21)/(2-2*B12)</f>
        <v>0.4183426044786763</v>
      </c>
      <c r="F45" s="3">
        <f>D21*(2-2*B25)+B21</f>
        <v>1.0723732705748108</v>
      </c>
      <c r="G45" s="3">
        <f>(B21-D25*D8-B25*B8)/C25</f>
        <v>0.1631721580373698</v>
      </c>
      <c r="H45" s="3">
        <f>C21*(2-2*D25)+B21</f>
        <v>1.0184823715415021</v>
      </c>
    </row>
    <row r="46" spans="3:4" ht="12.75" hidden="1">
      <c r="C46" s="4"/>
      <c r="D46" s="4"/>
    </row>
    <row r="47" spans="3:4" ht="12.75" hidden="1">
      <c r="C47" s="4"/>
      <c r="D47" s="4"/>
    </row>
    <row r="48" ht="12.75" hidden="1">
      <c r="A48" s="3"/>
    </row>
    <row r="49" spans="1:4" ht="12.75" hidden="1">
      <c r="A49" s="3"/>
      <c r="B49" s="3">
        <f>(B40*B36)+(C40*C36)+(D40*D36)</f>
        <v>0</v>
      </c>
      <c r="C49" s="3">
        <f>(1-B49)/(2-2*D40)</f>
        <v>1</v>
      </c>
      <c r="D49" s="3">
        <f>(1-B49)/(2-2*B40)</f>
        <v>0.7131650263871059</v>
      </c>
    </row>
    <row r="50" spans="1:4" ht="12.75" hidden="1">
      <c r="A50" s="7"/>
      <c r="B50" s="3"/>
      <c r="C50" s="3"/>
      <c r="D50" s="3"/>
    </row>
    <row r="51" spans="1:4" ht="12.75" hidden="1">
      <c r="A51" s="39" t="str">
        <f>IF($A$14="Rec. 709","Rec. 709","SMPTE-C")</f>
        <v>SMPTE-C</v>
      </c>
      <c r="B51" s="39"/>
      <c r="C51" s="3"/>
      <c r="D51" s="3"/>
    </row>
    <row r="52" spans="1:4" ht="12.75" hidden="1">
      <c r="A52" s="3"/>
      <c r="B52" s="3"/>
      <c r="C52" s="3"/>
      <c r="D52" s="3"/>
    </row>
    <row r="53" spans="1:14" ht="12.75" hidden="1">
      <c r="A53" s="3"/>
      <c r="B53" s="8" t="s">
        <v>0</v>
      </c>
      <c r="C53" s="8" t="s">
        <v>1</v>
      </c>
      <c r="D53" s="8" t="s">
        <v>2</v>
      </c>
      <c r="E53" s="9" t="s">
        <v>28</v>
      </c>
      <c r="F53" s="9" t="s">
        <v>29</v>
      </c>
      <c r="G53" s="9" t="s">
        <v>30</v>
      </c>
      <c r="H53" s="9" t="s">
        <v>31</v>
      </c>
      <c r="I53" s="9" t="s">
        <v>3</v>
      </c>
      <c r="J53" s="9" t="s">
        <v>32</v>
      </c>
      <c r="K53" s="9"/>
      <c r="L53" s="9" t="s">
        <v>18</v>
      </c>
      <c r="M53" s="9" t="s">
        <v>19</v>
      </c>
      <c r="N53" s="1" t="s">
        <v>3</v>
      </c>
    </row>
    <row r="54" spans="1:50" ht="12.75" hidden="1">
      <c r="A54" s="3"/>
      <c r="B54" s="3">
        <v>1</v>
      </c>
      <c r="C54" s="3">
        <v>0</v>
      </c>
      <c r="D54" s="3">
        <v>0</v>
      </c>
      <c r="E54" s="10">
        <f aca="true" t="shared" si="5" ref="E54:G56">IF(B54&lt;=0.04045,B54/12.92,((B54+0.055)/1.055)^2.4)</f>
        <v>1</v>
      </c>
      <c r="F54" s="10">
        <f t="shared" si="5"/>
        <v>0</v>
      </c>
      <c r="G54" s="10">
        <f t="shared" si="5"/>
        <v>0</v>
      </c>
      <c r="H54" s="4">
        <f>(E54*$AV$97)+(F54*$AW$97)+(G54*$AX$97)</f>
        <v>0.3935647058823529</v>
      </c>
      <c r="I54" s="4">
        <f>(E54*$AV$98)+(F54*$AW$98)+(G54*$AX$98)</f>
        <v>0.2124</v>
      </c>
      <c r="J54" s="4">
        <f>(E54*$AV$99)+(F54*$AW$99)+(G54*$AX$99)</f>
        <v>0.018741176470588216</v>
      </c>
      <c r="K54" s="4"/>
      <c r="L54" s="5">
        <f>H54/(H54+I54+J54)</f>
        <v>0.6299999999999999</v>
      </c>
      <c r="M54" s="5">
        <f>I54/(H54+I54+J54)</f>
        <v>0.33999999999999997</v>
      </c>
      <c r="N54" s="4">
        <f>I54</f>
        <v>0.2124</v>
      </c>
      <c r="AV54" t="s">
        <v>18</v>
      </c>
      <c r="AW54" t="s">
        <v>19</v>
      </c>
      <c r="AX54" t="s">
        <v>3</v>
      </c>
    </row>
    <row r="55" spans="1:50" ht="12.75" hidden="1">
      <c r="A55" s="3"/>
      <c r="B55" s="3">
        <v>0</v>
      </c>
      <c r="C55" s="3">
        <v>1</v>
      </c>
      <c r="D55" s="3">
        <v>0</v>
      </c>
      <c r="E55" s="10">
        <f t="shared" si="5"/>
        <v>0</v>
      </c>
      <c r="F55" s="10">
        <f t="shared" si="5"/>
        <v>1</v>
      </c>
      <c r="G55" s="10">
        <f t="shared" si="5"/>
        <v>0</v>
      </c>
      <c r="H55" s="4">
        <f>(E55*$AV$97)+(F55*$AW$97)+(G55*$AX$97)</f>
        <v>0.3652789915966386</v>
      </c>
      <c r="I55" s="4">
        <f>(E55*$AV$98)+(F55*$AW$98)+(G55*$AX$98)</f>
        <v>0.7011</v>
      </c>
      <c r="J55" s="4">
        <f>(E55*$AV$99)+(F55*$AW$99)+(G55*$AX$99)</f>
        <v>0.11194033613445374</v>
      </c>
      <c r="K55" s="4"/>
      <c r="L55" s="5">
        <f>H55/(H55+I55+J55)</f>
        <v>0.31</v>
      </c>
      <c r="M55" s="5">
        <f>I55/(H55+I55+J55)</f>
        <v>0.595</v>
      </c>
      <c r="N55" s="4">
        <f>I55</f>
        <v>0.7011</v>
      </c>
      <c r="AU55" t="s">
        <v>0</v>
      </c>
      <c r="AV55" s="4">
        <f aca="true" t="shared" si="6" ref="AV55:AX57">IF($A$51="Rec. 709",AV61,IF($A$51="SMPTE-C",AV70,IF($A$51="EBU",AV79,AV88)))</f>
        <v>0.63</v>
      </c>
      <c r="AW55" s="4">
        <f t="shared" si="6"/>
        <v>0.34</v>
      </c>
      <c r="AX55" s="4">
        <f t="shared" si="6"/>
        <v>0.2124</v>
      </c>
    </row>
    <row r="56" spans="1:50" ht="12.75" hidden="1">
      <c r="A56" s="3"/>
      <c r="B56" s="3">
        <v>0</v>
      </c>
      <c r="C56" s="3">
        <v>0</v>
      </c>
      <c r="D56" s="3">
        <v>1</v>
      </c>
      <c r="E56" s="10">
        <f t="shared" si="5"/>
        <v>0</v>
      </c>
      <c r="F56" s="10">
        <f t="shared" si="5"/>
        <v>0</v>
      </c>
      <c r="G56" s="10">
        <f t="shared" si="5"/>
        <v>1</v>
      </c>
      <c r="H56" s="4">
        <f>(E56*$AV$97)+(F56*$AW$97)+(G56*$AX$97)</f>
        <v>0.19175714285714282</v>
      </c>
      <c r="I56" s="4">
        <f>(E56*$AV$98)+(F56*$AW$98)+(G56*$AX$98)</f>
        <v>0.0866</v>
      </c>
      <c r="J56" s="4">
        <f>(E56*$AV$99)+(F56*$AW$99)+(G56*$AX$99)</f>
        <v>0.9587857142857141</v>
      </c>
      <c r="K56" s="4"/>
      <c r="L56" s="5">
        <f>H56/(H56+I56+J56)</f>
        <v>0.155</v>
      </c>
      <c r="M56" s="5">
        <f>I56/(H56+I56+J56)</f>
        <v>0.07</v>
      </c>
      <c r="N56" s="4">
        <f>I56</f>
        <v>0.0866</v>
      </c>
      <c r="AU56" t="s">
        <v>1</v>
      </c>
      <c r="AV56" s="4">
        <f t="shared" si="6"/>
        <v>0.31</v>
      </c>
      <c r="AW56" s="4">
        <f t="shared" si="6"/>
        <v>0.595</v>
      </c>
      <c r="AX56" s="4">
        <f t="shared" si="6"/>
        <v>0.7011</v>
      </c>
    </row>
    <row r="57" spans="1:50" ht="12.75" hidden="1">
      <c r="A57" s="3"/>
      <c r="B57" s="8" t="s">
        <v>0</v>
      </c>
      <c r="C57" s="8" t="s">
        <v>1</v>
      </c>
      <c r="D57" s="8" t="s">
        <v>2</v>
      </c>
      <c r="E57" s="9" t="s">
        <v>28</v>
      </c>
      <c r="F57" s="9" t="s">
        <v>29</v>
      </c>
      <c r="G57" s="9" t="s">
        <v>30</v>
      </c>
      <c r="H57" s="9" t="s">
        <v>31</v>
      </c>
      <c r="I57" s="9" t="s">
        <v>3</v>
      </c>
      <c r="J57" s="9" t="s">
        <v>32</v>
      </c>
      <c r="K57" s="9"/>
      <c r="L57" s="9" t="s">
        <v>18</v>
      </c>
      <c r="M57" s="9" t="s">
        <v>19</v>
      </c>
      <c r="N57" s="1" t="s">
        <v>3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U57" t="s">
        <v>2</v>
      </c>
      <c r="AV57" s="4">
        <f t="shared" si="6"/>
        <v>0.155</v>
      </c>
      <c r="AW57" s="4">
        <f t="shared" si="6"/>
        <v>0.07</v>
      </c>
      <c r="AX57" s="4">
        <f t="shared" si="6"/>
        <v>0.0866</v>
      </c>
    </row>
    <row r="58" spans="1:45" ht="12.75" hidden="1">
      <c r="A58" s="3"/>
      <c r="B58" s="3">
        <f aca="true" t="shared" si="7" ref="B58:D63">B28</f>
        <v>1.0865</v>
      </c>
      <c r="C58" s="3">
        <f t="shared" si="7"/>
        <v>0.12337754956496934</v>
      </c>
      <c r="D58" s="3">
        <f t="shared" si="7"/>
        <v>-0.009417628458498029</v>
      </c>
      <c r="E58" s="10">
        <f aca="true" t="shared" si="8" ref="E58:G63">IF(B58&lt;=0.04045,B58/12.92,((B58+0.055)/1.055)^2.4)</f>
        <v>1.2081929434327408</v>
      </c>
      <c r="F58" s="10">
        <f t="shared" si="8"/>
        <v>0.014041404853083401</v>
      </c>
      <c r="G58" s="10">
        <f t="shared" si="8"/>
        <v>-0.0007289186113388567</v>
      </c>
      <c r="H58" s="4">
        <f aca="true" t="shared" si="9" ref="H58:H63">(E58*$AV$97)+(F58*$AW$97)+(G58*$AX$97)</f>
        <v>0.48049135528628956</v>
      </c>
      <c r="I58" s="4">
        <f aca="true" t="shared" si="10" ref="I58:I63">(E58*$AV$98)+(F58*$AW$98)+(G58*$AX$98)</f>
        <v>0.266401485775869</v>
      </c>
      <c r="J58" s="4">
        <f aca="true" t="shared" si="11" ref="J58:J63">(E58*$AV$99)+(F58*$AW$99)+(G58*$AX$99)</f>
        <v>0.02351587999101783</v>
      </c>
      <c r="K58" s="4"/>
      <c r="L58" s="4">
        <f aca="true" t="shared" si="12" ref="L58:L63">H58/(H58+I58+J58)</f>
        <v>0.6236836917285161</v>
      </c>
      <c r="M58" s="4">
        <f aca="true" t="shared" si="13" ref="M58:M63">I58/(H58+I58+J58)</f>
        <v>0.34579240667432815</v>
      </c>
      <c r="N58" s="4">
        <f aca="true" t="shared" si="14" ref="N58:N63">I58</f>
        <v>0.266401485775869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50" ht="12.75" hidden="1">
      <c r="A59" s="3"/>
      <c r="B59" s="3">
        <f t="shared" si="7"/>
        <v>-0.07237327057481091</v>
      </c>
      <c r="C59" s="3">
        <f t="shared" si="7"/>
        <v>0.8366852089573528</v>
      </c>
      <c r="D59" s="3">
        <f t="shared" si="7"/>
        <v>-0.018482371541502007</v>
      </c>
      <c r="E59" s="10">
        <f t="shared" si="8"/>
        <v>-0.0056016463293197295</v>
      </c>
      <c r="F59" s="10">
        <f t="shared" si="8"/>
        <v>0.667885242483536</v>
      </c>
      <c r="G59" s="10">
        <f t="shared" si="8"/>
        <v>-0.0014305241131193503</v>
      </c>
      <c r="H59" s="4">
        <f t="shared" si="9"/>
        <v>0.24148552436988682</v>
      </c>
      <c r="I59" s="4">
        <f t="shared" si="10"/>
        <v>0.46694067043666343</v>
      </c>
      <c r="J59" s="4">
        <f t="shared" si="11"/>
        <v>0.07328675101686448</v>
      </c>
      <c r="K59" s="4"/>
      <c r="L59" s="4">
        <f t="shared" si="12"/>
        <v>0.30891841520613283</v>
      </c>
      <c r="M59" s="4">
        <f t="shared" si="13"/>
        <v>0.5973300978721966</v>
      </c>
      <c r="N59" s="4">
        <f t="shared" si="14"/>
        <v>0.46694067043666343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0"/>
      <c r="AV59" s="10"/>
      <c r="AW59" s="10"/>
      <c r="AX59" s="10"/>
    </row>
    <row r="60" spans="1:50" ht="12.75" hidden="1">
      <c r="A60" s="3"/>
      <c r="B60" s="3">
        <f t="shared" si="7"/>
        <v>-0.014126729425188986</v>
      </c>
      <c r="C60" s="3">
        <f t="shared" si="7"/>
        <v>0.03979460847240053</v>
      </c>
      <c r="D60" s="3">
        <f t="shared" si="7"/>
        <v>1.0279</v>
      </c>
      <c r="E60" s="10">
        <f t="shared" si="8"/>
        <v>-0.001093400110308745</v>
      </c>
      <c r="F60" s="10">
        <f t="shared" si="8"/>
        <v>0.00308007805513936</v>
      </c>
      <c r="G60" s="10">
        <f t="shared" si="8"/>
        <v>1.0646482530041854</v>
      </c>
      <c r="H60" s="4">
        <f t="shared" si="9"/>
        <v>0.20484867125712597</v>
      </c>
      <c r="I60" s="4">
        <f t="shared" si="10"/>
        <v>0.09412574325119108</v>
      </c>
      <c r="J60" s="4">
        <f t="shared" si="11"/>
        <v>1.021093829088048</v>
      </c>
      <c r="K60" s="4"/>
      <c r="L60" s="4">
        <f t="shared" si="12"/>
        <v>0.15518036453860956</v>
      </c>
      <c r="M60" s="4">
        <f t="shared" si="13"/>
        <v>0.07130369487168099</v>
      </c>
      <c r="N60" s="4">
        <f t="shared" si="14"/>
        <v>0.09412574325119108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/>
      <c r="AV60" s="10" t="s">
        <v>18</v>
      </c>
      <c r="AW60" s="10" t="s">
        <v>19</v>
      </c>
      <c r="AX60" s="10" t="s">
        <v>3</v>
      </c>
    </row>
    <row r="61" spans="1:52" ht="12.75" hidden="1">
      <c r="A61" s="3"/>
      <c r="B61" s="3">
        <f t="shared" si="7"/>
        <v>1.014126729425189</v>
      </c>
      <c r="C61" s="3">
        <f t="shared" si="7"/>
        <v>0.960062758522322</v>
      </c>
      <c r="D61" s="3">
        <f t="shared" si="7"/>
        <v>-0.027900000000000036</v>
      </c>
      <c r="E61" s="10">
        <f t="shared" si="8"/>
        <v>1.03243839502127</v>
      </c>
      <c r="F61" s="10">
        <f t="shared" si="8"/>
        <v>0.9115427541528762</v>
      </c>
      <c r="G61" s="10">
        <f t="shared" si="8"/>
        <v>-0.002159442724458207</v>
      </c>
      <c r="H61" s="4">
        <f t="shared" si="9"/>
        <v>0.7388846427453742</v>
      </c>
      <c r="I61" s="4">
        <f t="shared" si="10"/>
        <v>0.8581855322991613</v>
      </c>
      <c r="J61" s="4">
        <f t="shared" si="11"/>
        <v>0.11931706962187444</v>
      </c>
      <c r="K61" s="4"/>
      <c r="L61" s="4">
        <f t="shared" si="12"/>
        <v>0.43048830911638525</v>
      </c>
      <c r="M61" s="4">
        <f t="shared" si="13"/>
        <v>0.4999952865916076</v>
      </c>
      <c r="N61" s="4">
        <f t="shared" si="14"/>
        <v>0.8581855322991613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/>
      <c r="AU61" t="s">
        <v>0</v>
      </c>
      <c r="AV61" s="11">
        <v>0.64</v>
      </c>
      <c r="AW61" s="11">
        <v>0.33</v>
      </c>
      <c r="AX61" s="11">
        <v>0.2126</v>
      </c>
      <c r="AZ61" t="s">
        <v>17</v>
      </c>
    </row>
    <row r="62" spans="1:52" ht="12.75" hidden="1">
      <c r="A62" s="3"/>
      <c r="B62" s="3">
        <f t="shared" si="7"/>
        <v>-0.08649999999999991</v>
      </c>
      <c r="C62" s="3">
        <f t="shared" si="7"/>
        <v>0.8764798174297533</v>
      </c>
      <c r="D62" s="3">
        <f t="shared" si="7"/>
        <v>1.0094176284584981</v>
      </c>
      <c r="E62" s="10">
        <f t="shared" si="8"/>
        <v>-0.0066950464396284765</v>
      </c>
      <c r="F62" s="10">
        <f t="shared" si="8"/>
        <v>0.7416694243524534</v>
      </c>
      <c r="G62" s="10">
        <f t="shared" si="8"/>
        <v>1.0215580193301677</v>
      </c>
      <c r="H62" s="4">
        <f t="shared" si="9"/>
        <v>0.46417237249219745</v>
      </c>
      <c r="I62" s="4">
        <f t="shared" si="10"/>
        <v>0.6070293300237205</v>
      </c>
      <c r="J62" s="4">
        <f t="shared" si="11"/>
        <v>1.0623524868636307</v>
      </c>
      <c r="K62" s="4"/>
      <c r="L62" s="4">
        <f t="shared" si="12"/>
        <v>0.21755827660847077</v>
      </c>
      <c r="M62" s="4">
        <f t="shared" si="13"/>
        <v>0.28451554361515824</v>
      </c>
      <c r="N62" s="4">
        <f t="shared" si="14"/>
        <v>0.6070293300237205</v>
      </c>
      <c r="AT62" s="10"/>
      <c r="AU62" t="s">
        <v>1</v>
      </c>
      <c r="AV62" s="11">
        <v>0.3</v>
      </c>
      <c r="AW62" s="11">
        <v>0.6</v>
      </c>
      <c r="AX62" s="11">
        <v>0.7152</v>
      </c>
      <c r="AZ62" t="s">
        <v>33</v>
      </c>
    </row>
    <row r="63" spans="1:52" ht="12.75" hidden="1">
      <c r="A63" s="3"/>
      <c r="B63" s="3">
        <f t="shared" si="7"/>
        <v>1.0723732705748108</v>
      </c>
      <c r="C63" s="3">
        <f t="shared" si="7"/>
        <v>0.1631721580373698</v>
      </c>
      <c r="D63" s="3">
        <f t="shared" si="7"/>
        <v>1.0184823715415021</v>
      </c>
      <c r="E63" s="10">
        <f t="shared" si="8"/>
        <v>1.1726182736627597</v>
      </c>
      <c r="F63" s="10">
        <f t="shared" si="8"/>
        <v>0.02276734993732697</v>
      </c>
      <c r="G63" s="10">
        <f t="shared" si="8"/>
        <v>1.0425620147641035</v>
      </c>
      <c r="H63" s="4">
        <f t="shared" si="9"/>
        <v>0.6697363138153419</v>
      </c>
      <c r="I63" s="4">
        <f t="shared" si="10"/>
        <v>0.35531218084560146</v>
      </c>
      <c r="J63" s="4">
        <f t="shared" si="11"/>
        <v>1.0241183968169796</v>
      </c>
      <c r="K63" s="4"/>
      <c r="L63" s="4">
        <f t="shared" si="12"/>
        <v>0.3268334641754373</v>
      </c>
      <c r="M63" s="4">
        <f t="shared" si="13"/>
        <v>0.17339348118656125</v>
      </c>
      <c r="N63" s="4">
        <f t="shared" si="14"/>
        <v>0.35531218084560146</v>
      </c>
      <c r="AU63" t="s">
        <v>2</v>
      </c>
      <c r="AV63" s="11">
        <v>0.15</v>
      </c>
      <c r="AW63" s="11">
        <v>0.06</v>
      </c>
      <c r="AX63" s="11">
        <v>0.0722</v>
      </c>
      <c r="AZ63" t="s">
        <v>34</v>
      </c>
    </row>
    <row r="64" spans="1:52" ht="12.75" hidden="1">
      <c r="A64" s="3"/>
      <c r="B64" s="3"/>
      <c r="C64" s="3"/>
      <c r="D64" s="3"/>
      <c r="E64" s="10"/>
      <c r="F64" s="10"/>
      <c r="G64" s="10"/>
      <c r="H64" s="4"/>
      <c r="I64" s="4"/>
      <c r="J64" s="4"/>
      <c r="K64" s="4"/>
      <c r="L64" s="5"/>
      <c r="M64" s="5"/>
      <c r="N64" s="12"/>
      <c r="AT64" s="10"/>
      <c r="AU64" t="s">
        <v>3</v>
      </c>
      <c r="AV64" s="11">
        <v>0.4193</v>
      </c>
      <c r="AW64" s="11">
        <v>0.5053</v>
      </c>
      <c r="AX64" s="11">
        <v>0.9278</v>
      </c>
      <c r="AZ64" t="s">
        <v>35</v>
      </c>
    </row>
    <row r="65" spans="1:50" ht="12.75" hidden="1">
      <c r="A65" s="3"/>
      <c r="B65" s="3"/>
      <c r="C65" s="3"/>
      <c r="D65" s="3"/>
      <c r="E65" s="10"/>
      <c r="F65" s="10"/>
      <c r="G65" s="10"/>
      <c r="H65" s="4"/>
      <c r="I65" s="4"/>
      <c r="J65" s="4"/>
      <c r="K65" s="4"/>
      <c r="L65" s="5"/>
      <c r="M65" s="5"/>
      <c r="N65" s="12"/>
      <c r="AT65" s="10"/>
      <c r="AU65" t="s">
        <v>4</v>
      </c>
      <c r="AV65" s="11">
        <v>0.2246</v>
      </c>
      <c r="AW65" s="11">
        <v>0.3287</v>
      </c>
      <c r="AX65" s="11">
        <v>0.7874</v>
      </c>
    </row>
    <row r="66" spans="1:50" ht="12.75" hidden="1">
      <c r="A66" s="3"/>
      <c r="B66" s="3"/>
      <c r="C66" s="3"/>
      <c r="D66" s="3"/>
      <c r="E66" s="10"/>
      <c r="F66" s="10"/>
      <c r="G66" s="10"/>
      <c r="H66" s="4"/>
      <c r="I66" s="4"/>
      <c r="J66" s="4"/>
      <c r="K66" s="4"/>
      <c r="L66" s="5"/>
      <c r="M66" s="5"/>
      <c r="N66" s="1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10"/>
      <c r="AU66" t="s">
        <v>5</v>
      </c>
      <c r="AV66" s="11">
        <v>0.3209</v>
      </c>
      <c r="AW66" s="11">
        <v>0.1542</v>
      </c>
      <c r="AX66" s="11">
        <v>0.2848</v>
      </c>
    </row>
    <row r="67" spans="1:50" ht="12.75" hidden="1">
      <c r="A67" s="3"/>
      <c r="B67" s="3"/>
      <c r="C67" s="3"/>
      <c r="D67" s="3"/>
      <c r="E67" s="10"/>
      <c r="F67" s="10"/>
      <c r="G67" s="10"/>
      <c r="H67" s="4"/>
      <c r="I67" s="4"/>
      <c r="J67" s="4"/>
      <c r="K67" s="4"/>
      <c r="L67" s="5"/>
      <c r="M67" s="5"/>
      <c r="N67" s="12"/>
      <c r="AT67" s="10"/>
      <c r="AU67" t="s">
        <v>36</v>
      </c>
      <c r="AV67" s="11">
        <v>0.3127</v>
      </c>
      <c r="AW67" s="11">
        <v>0.329</v>
      </c>
      <c r="AX67" s="11">
        <v>1</v>
      </c>
    </row>
    <row r="68" spans="1:14" ht="12.75" hidden="1">
      <c r="A68" s="3"/>
      <c r="B68" s="3"/>
      <c r="C68" s="3"/>
      <c r="D68" s="3"/>
      <c r="E68" s="10"/>
      <c r="F68" s="10"/>
      <c r="G68" s="10"/>
      <c r="H68" s="4"/>
      <c r="I68" s="4"/>
      <c r="J68" s="4"/>
      <c r="K68" s="4"/>
      <c r="L68" s="5"/>
      <c r="M68" s="5"/>
      <c r="N68" s="12"/>
    </row>
    <row r="69" spans="1:50" ht="12.75" hidden="1">
      <c r="A69" s="8" t="s">
        <v>18</v>
      </c>
      <c r="B69" s="8" t="s">
        <v>19</v>
      </c>
      <c r="C69" s="8" t="s">
        <v>3</v>
      </c>
      <c r="D69" s="8" t="s">
        <v>31</v>
      </c>
      <c r="E69" s="1" t="s">
        <v>3</v>
      </c>
      <c r="F69" s="1" t="s">
        <v>32</v>
      </c>
      <c r="G69" s="1" t="s">
        <v>18</v>
      </c>
      <c r="H69" s="1" t="s">
        <v>19</v>
      </c>
      <c r="I69" s="1" t="s">
        <v>37</v>
      </c>
      <c r="J69" s="1" t="s">
        <v>38</v>
      </c>
      <c r="K69" s="1"/>
      <c r="L69" s="1" t="s">
        <v>39</v>
      </c>
      <c r="M69" s="1" t="s">
        <v>40</v>
      </c>
      <c r="N69" s="1" t="s">
        <v>41</v>
      </c>
      <c r="O69" s="1" t="s">
        <v>42</v>
      </c>
      <c r="P69" s="1" t="s">
        <v>43</v>
      </c>
      <c r="Q69" s="1" t="s">
        <v>21</v>
      </c>
      <c r="R69" s="1" t="s">
        <v>44</v>
      </c>
      <c r="S69" s="1" t="s">
        <v>45</v>
      </c>
      <c r="T69" s="2" t="s">
        <v>46</v>
      </c>
      <c r="U69" s="1" t="s">
        <v>47</v>
      </c>
      <c r="V69" s="1" t="s">
        <v>48</v>
      </c>
      <c r="W69" s="1" t="s">
        <v>49</v>
      </c>
      <c r="X69" s="1" t="s">
        <v>50</v>
      </c>
      <c r="Y69" s="1" t="s">
        <v>21</v>
      </c>
      <c r="Z69" s="1" t="s">
        <v>51</v>
      </c>
      <c r="AA69" s="1" t="s">
        <v>52</v>
      </c>
      <c r="AB69" s="1"/>
      <c r="AG69" s="1" t="s">
        <v>21</v>
      </c>
      <c r="AH69" s="1" t="s">
        <v>22</v>
      </c>
      <c r="AI69" s="1" t="s">
        <v>23</v>
      </c>
      <c r="AJ69" s="1" t="s">
        <v>4</v>
      </c>
      <c r="AK69" s="1" t="s">
        <v>0</v>
      </c>
      <c r="AP69" s="9" t="s">
        <v>33</v>
      </c>
      <c r="AV69" t="s">
        <v>18</v>
      </c>
      <c r="AW69" t="s">
        <v>19</v>
      </c>
      <c r="AX69" t="s">
        <v>3</v>
      </c>
    </row>
    <row r="70" spans="1:50" ht="12.75" hidden="1">
      <c r="A70" s="11">
        <f aca="true" t="shared" si="15" ref="A70:B75">I28</f>
        <v>0.63</v>
      </c>
      <c r="B70" s="11">
        <f t="shared" si="15"/>
        <v>0.34</v>
      </c>
      <c r="C70" s="11">
        <f aca="true" t="shared" si="16" ref="C70:C75">K28</f>
        <v>0.2124</v>
      </c>
      <c r="D70" s="3">
        <f aca="true" t="shared" si="17" ref="D70:D76">(A70*C70)/B70</f>
        <v>0.3935647058823529</v>
      </c>
      <c r="E70" s="4">
        <f aca="true" t="shared" si="18" ref="E70:E76">C70</f>
        <v>0.2124</v>
      </c>
      <c r="F70" s="4">
        <f aca="true" t="shared" si="19" ref="F70:F76">((1-A70-B70)*C70)/B70</f>
        <v>0.018741176470588216</v>
      </c>
      <c r="G70" s="13">
        <f aca="true" t="shared" si="20" ref="G70:G76">D70/J70</f>
        <v>0.41407991120976695</v>
      </c>
      <c r="H70" s="13">
        <f aca="true" t="shared" si="21" ref="H70:I76">E70/L70</f>
        <v>0.2124</v>
      </c>
      <c r="I70" s="13">
        <f t="shared" si="21"/>
        <v>0.01720861584935396</v>
      </c>
      <c r="J70" s="5">
        <f>$D$76</f>
        <v>0.9504559270516716</v>
      </c>
      <c r="K70" s="5"/>
      <c r="L70" s="4">
        <v>1</v>
      </c>
      <c r="M70" s="4">
        <f>$F$76</f>
        <v>1.0890577507598784</v>
      </c>
      <c r="N70" s="14">
        <f aca="true" t="shared" si="22" ref="N70:P76">IF(G70&gt;0.008856,G70^(1/3),((903.3*G70)+16)/116)</f>
        <v>0.7453519417037986</v>
      </c>
      <c r="O70" s="14">
        <f t="shared" si="22"/>
        <v>0.5966479747515949</v>
      </c>
      <c r="P70" s="14">
        <f t="shared" si="22"/>
        <v>0.25817567032351996</v>
      </c>
      <c r="Q70" s="13">
        <f aca="true" t="shared" si="23" ref="Q70:Q75">116*O70-16</f>
        <v>53.21116507118501</v>
      </c>
      <c r="R70" s="13">
        <f aca="true" t="shared" si="24" ref="R70:R75">500*(N70-O70)</f>
        <v>74.35198347610184</v>
      </c>
      <c r="S70" s="13">
        <f aca="true" t="shared" si="25" ref="S70:S75">200*(O70-P70)</f>
        <v>67.69446088561499</v>
      </c>
      <c r="T70" s="4">
        <f>E70/L70</f>
        <v>0.2124</v>
      </c>
      <c r="U70" s="4">
        <f>(4*J70)/(J70+15*L70+3*M70)</f>
        <v>0.19783000664283681</v>
      </c>
      <c r="V70" s="4">
        <f>(9*L70)/(J70+15*L70+3*M70)</f>
        <v>0.46831999493879106</v>
      </c>
      <c r="W70" s="4">
        <f>(D70*4)/(D70+15*E70+3*F70)</f>
        <v>0.43298969072164945</v>
      </c>
      <c r="X70" s="4">
        <f>(9*E70)/(D70+15*E70+3*F70)</f>
        <v>0.5257731958762887</v>
      </c>
      <c r="Y70" s="15">
        <f>IF(T70&gt;0.008856,116*(E70)^(1/3)-16,903.3*T70)</f>
        <v>53.21116507118501</v>
      </c>
      <c r="Z70" s="5">
        <f>(13*Y70)*(W70-U70)</f>
        <v>162.6705699788704</v>
      </c>
      <c r="AA70" s="12">
        <f>(13*Y70)*(X70-V70)</f>
        <v>39.74297286639091</v>
      </c>
      <c r="AB70" s="5"/>
      <c r="AG70" s="4">
        <f aca="true" t="shared" si="26" ref="AG70:AG75">Y70</f>
        <v>53.21116507118501</v>
      </c>
      <c r="AH70" s="4">
        <f aca="true" t="shared" si="27" ref="AH70:AH75">AJ70/AG70</f>
        <v>3.146992230061576</v>
      </c>
      <c r="AI70" s="4">
        <f aca="true" t="shared" si="28" ref="AI70:AI75">IF(AK70&gt;0,DEGREES(AK70),DEGREES(AK70)+360)</f>
        <v>13.729307068197505</v>
      </c>
      <c r="AJ70" s="4">
        <f aca="true" t="shared" si="29" ref="AJ70:AJ75">SQRT(Z70^2+AA70^2)</f>
        <v>167.45512303154314</v>
      </c>
      <c r="AK70" s="4">
        <f aca="true" t="shared" si="30" ref="AK70:AK75">ATAN2(Z70,AA70)</f>
        <v>0.2396216123573761</v>
      </c>
      <c r="AL70" s="9" t="s">
        <v>0</v>
      </c>
      <c r="AN70" s="9" t="s">
        <v>33</v>
      </c>
      <c r="AP70" s="9"/>
      <c r="AQ70" s="1" t="s">
        <v>18</v>
      </c>
      <c r="AR70" s="1" t="s">
        <v>19</v>
      </c>
      <c r="AS70" s="1" t="s">
        <v>3</v>
      </c>
      <c r="AU70" t="s">
        <v>0</v>
      </c>
      <c r="AV70" s="4">
        <v>0.63</v>
      </c>
      <c r="AW70" s="4">
        <v>0.34</v>
      </c>
      <c r="AX70" s="4">
        <v>0.2124</v>
      </c>
    </row>
    <row r="71" spans="1:50" ht="12.75" hidden="1">
      <c r="A71" s="11">
        <f t="shared" si="15"/>
        <v>0.31</v>
      </c>
      <c r="B71" s="11">
        <f t="shared" si="15"/>
        <v>0.595</v>
      </c>
      <c r="C71" s="11">
        <f t="shared" si="16"/>
        <v>0.7011</v>
      </c>
      <c r="D71" s="3">
        <f t="shared" si="17"/>
        <v>0.3652789915966386</v>
      </c>
      <c r="E71" s="4">
        <f t="shared" si="18"/>
        <v>0.7011</v>
      </c>
      <c r="F71" s="4">
        <f t="shared" si="19"/>
        <v>0.11194033613445374</v>
      </c>
      <c r="G71" s="13">
        <f t="shared" si="20"/>
        <v>0.3843197577080081</v>
      </c>
      <c r="H71" s="13">
        <f t="shared" si="21"/>
        <v>0.7011</v>
      </c>
      <c r="I71" s="13">
        <f t="shared" si="21"/>
        <v>0.10278640967969657</v>
      </c>
      <c r="J71" s="5">
        <f aca="true" t="shared" si="31" ref="J71:J76">$D$76</f>
        <v>0.9504559270516716</v>
      </c>
      <c r="K71" s="5"/>
      <c r="L71" s="4">
        <v>1</v>
      </c>
      <c r="M71" s="4">
        <f aca="true" t="shared" si="32" ref="M71:M76">$F$76</f>
        <v>1.0890577507598784</v>
      </c>
      <c r="N71" s="14">
        <f t="shared" si="22"/>
        <v>0.727049930574932</v>
      </c>
      <c r="O71" s="14">
        <f t="shared" si="22"/>
        <v>0.8883688509074847</v>
      </c>
      <c r="P71" s="14">
        <f t="shared" si="22"/>
        <v>0.46843057276558847</v>
      </c>
      <c r="Q71" s="13">
        <f t="shared" si="23"/>
        <v>87.05078670526822</v>
      </c>
      <c r="R71" s="13">
        <f t="shared" si="24"/>
        <v>-80.6594601662764</v>
      </c>
      <c r="S71" s="13">
        <f t="shared" si="25"/>
        <v>83.98765562837926</v>
      </c>
      <c r="T71" s="4">
        <f aca="true" t="shared" si="33" ref="T71:T76">E71/L71</f>
        <v>0.7011</v>
      </c>
      <c r="U71" s="4">
        <f aca="true" t="shared" si="34" ref="U71:U76">(4*J71)/(J71+15*L71+3*M71)</f>
        <v>0.19783000664283681</v>
      </c>
      <c r="V71" s="4">
        <f aca="true" t="shared" si="35" ref="V71:V76">(9*L71)/(J71+15*L71+3*M71)</f>
        <v>0.46831999493879106</v>
      </c>
      <c r="W71" s="4">
        <f aca="true" t="shared" si="36" ref="W71:W76">(D71*4)/(D71+15*E71+3*F71)</f>
        <v>0.13025210084033614</v>
      </c>
      <c r="X71" s="4">
        <f aca="true" t="shared" si="37" ref="X71:X76">(9*E71)/(D71+15*E71+3*F71)</f>
        <v>0.5625</v>
      </c>
      <c r="Y71" s="15">
        <f aca="true" t="shared" si="38" ref="Y71:Y76">IF(T71&gt;0.008856,116*(E71)^(1/3)-16,903.3*T71)</f>
        <v>87.05078670526822</v>
      </c>
      <c r="Z71" s="5">
        <f aca="true" t="shared" si="39" ref="Z71:Z76">(13*Y71)*(W71-U71)</f>
        <v>-76.47522823202851</v>
      </c>
      <c r="AA71" s="12">
        <f aca="true" t="shared" si="40" ref="AA71:AA76">(13*Y71)*(X71-V71)</f>
        <v>106.57976592229696</v>
      </c>
      <c r="AB71" s="5"/>
      <c r="AG71" s="4">
        <f t="shared" si="26"/>
        <v>87.05078670526822</v>
      </c>
      <c r="AH71" s="4">
        <f t="shared" si="27"/>
        <v>1.5069151579670264</v>
      </c>
      <c r="AI71" s="4">
        <f t="shared" si="28"/>
        <v>125.66094648486131</v>
      </c>
      <c r="AJ71" s="4">
        <f t="shared" si="29"/>
        <v>131.17814999912318</v>
      </c>
      <c r="AK71" s="4">
        <f t="shared" si="30"/>
        <v>2.1931972573332246</v>
      </c>
      <c r="AL71" s="9" t="s">
        <v>1</v>
      </c>
      <c r="AN71" s="9" t="s">
        <v>17</v>
      </c>
      <c r="AP71" s="9" t="s">
        <v>53</v>
      </c>
      <c r="AQ71" s="4">
        <v>0.63</v>
      </c>
      <c r="AR71" s="4">
        <v>0.34</v>
      </c>
      <c r="AS71" s="4">
        <v>0.2124</v>
      </c>
      <c r="AU71" t="s">
        <v>1</v>
      </c>
      <c r="AV71" s="4">
        <v>0.31</v>
      </c>
      <c r="AW71" s="4">
        <v>0.595</v>
      </c>
      <c r="AX71" s="4">
        <v>0.7011</v>
      </c>
    </row>
    <row r="72" spans="1:50" ht="12.75" hidden="1">
      <c r="A72" s="11">
        <f t="shared" si="15"/>
        <v>0.155</v>
      </c>
      <c r="B72" s="11">
        <f t="shared" si="15"/>
        <v>0.07</v>
      </c>
      <c r="C72" s="11">
        <f t="shared" si="16"/>
        <v>0.0866</v>
      </c>
      <c r="D72" s="3">
        <f t="shared" si="17"/>
        <v>0.19175714285714282</v>
      </c>
      <c r="E72" s="4">
        <f t="shared" si="18"/>
        <v>0.0866</v>
      </c>
      <c r="F72" s="4">
        <f t="shared" si="19"/>
        <v>0.9587857142857141</v>
      </c>
      <c r="G72" s="13">
        <f t="shared" si="20"/>
        <v>0.20175279820914613</v>
      </c>
      <c r="H72" s="13">
        <f t="shared" si="21"/>
        <v>0.0866</v>
      </c>
      <c r="I72" s="13">
        <f t="shared" si="21"/>
        <v>0.880380965671225</v>
      </c>
      <c r="J72" s="5">
        <f t="shared" si="31"/>
        <v>0.9504559270516716</v>
      </c>
      <c r="K72" s="5"/>
      <c r="L72" s="4">
        <v>1</v>
      </c>
      <c r="M72" s="4">
        <f t="shared" si="32"/>
        <v>1.0890577507598784</v>
      </c>
      <c r="N72" s="14">
        <f t="shared" si="22"/>
        <v>0.5865069853393996</v>
      </c>
      <c r="O72" s="14">
        <f t="shared" si="22"/>
        <v>0.4424246309971927</v>
      </c>
      <c r="P72" s="14">
        <f t="shared" si="22"/>
        <v>0.9584222368016072</v>
      </c>
      <c r="Q72" s="13">
        <f t="shared" si="23"/>
        <v>35.321257195674356</v>
      </c>
      <c r="R72" s="13">
        <f t="shared" si="24"/>
        <v>72.04117717110344</v>
      </c>
      <c r="S72" s="13">
        <f t="shared" si="25"/>
        <v>-103.1995211608829</v>
      </c>
      <c r="T72" s="4">
        <f t="shared" si="33"/>
        <v>0.0866</v>
      </c>
      <c r="U72" s="4">
        <f t="shared" si="34"/>
        <v>0.19783000664283681</v>
      </c>
      <c r="V72" s="4">
        <f t="shared" si="35"/>
        <v>0.46831999493879106</v>
      </c>
      <c r="W72" s="4">
        <f t="shared" si="36"/>
        <v>0.17563739376770537</v>
      </c>
      <c r="X72" s="4">
        <f t="shared" si="37"/>
        <v>0.1784702549575071</v>
      </c>
      <c r="Y72" s="15">
        <f t="shared" si="38"/>
        <v>35.321257195674356</v>
      </c>
      <c r="Z72" s="5">
        <f t="shared" si="39"/>
        <v>-10.190322833685173</v>
      </c>
      <c r="AA72" s="12">
        <f t="shared" si="40"/>
        <v>-133.09214378171745</v>
      </c>
      <c r="AB72" s="5"/>
      <c r="AG72" s="4">
        <f t="shared" si="26"/>
        <v>35.321257195674356</v>
      </c>
      <c r="AH72" s="4">
        <f t="shared" si="27"/>
        <v>3.7790752662327236</v>
      </c>
      <c r="AI72" s="4">
        <f t="shared" si="28"/>
        <v>265.62163823876034</v>
      </c>
      <c r="AJ72" s="4">
        <f t="shared" si="29"/>
        <v>133.48168944041757</v>
      </c>
      <c r="AK72" s="4">
        <f t="shared" si="30"/>
        <v>-1.6472131553719465</v>
      </c>
      <c r="AL72" s="9" t="s">
        <v>2</v>
      </c>
      <c r="AN72" s="9" t="s">
        <v>54</v>
      </c>
      <c r="AP72" s="9" t="s">
        <v>55</v>
      </c>
      <c r="AQ72" s="4">
        <v>0.31</v>
      </c>
      <c r="AR72" s="4">
        <v>0.595</v>
      </c>
      <c r="AS72" s="4">
        <v>0.7011</v>
      </c>
      <c r="AU72" t="s">
        <v>2</v>
      </c>
      <c r="AV72" s="4">
        <v>0.155</v>
      </c>
      <c r="AW72" s="4">
        <v>0.07</v>
      </c>
      <c r="AX72" s="4">
        <v>0.0866</v>
      </c>
    </row>
    <row r="73" spans="1:50" ht="12.75" hidden="1">
      <c r="A73" s="11">
        <f t="shared" si="15"/>
        <v>0.4209</v>
      </c>
      <c r="B73" s="11">
        <f t="shared" si="15"/>
        <v>0.5067</v>
      </c>
      <c r="C73" s="11">
        <f t="shared" si="16"/>
        <v>0.9134</v>
      </c>
      <c r="D73" s="3">
        <f t="shared" si="17"/>
        <v>0.7587330965068086</v>
      </c>
      <c r="E73" s="4">
        <f t="shared" si="18"/>
        <v>0.9134</v>
      </c>
      <c r="F73" s="4">
        <f t="shared" si="19"/>
        <v>0.13051146635089778</v>
      </c>
      <c r="G73" s="13">
        <f t="shared" si="20"/>
        <v>0.7982833026886476</v>
      </c>
      <c r="H73" s="13">
        <f t="shared" si="21"/>
        <v>0.9134</v>
      </c>
      <c r="I73" s="13">
        <f t="shared" si="21"/>
        <v>0.11983888481564434</v>
      </c>
      <c r="J73" s="5">
        <f t="shared" si="31"/>
        <v>0.9504559270516716</v>
      </c>
      <c r="K73" s="5"/>
      <c r="L73" s="4">
        <v>1</v>
      </c>
      <c r="M73" s="4">
        <f t="shared" si="32"/>
        <v>1.0890577507598784</v>
      </c>
      <c r="N73" s="14">
        <f t="shared" si="22"/>
        <v>0.9276532742678982</v>
      </c>
      <c r="O73" s="14">
        <f t="shared" si="22"/>
        <v>0.970257486467574</v>
      </c>
      <c r="P73" s="14">
        <f t="shared" si="22"/>
        <v>0.4930215692138316</v>
      </c>
      <c r="Q73" s="13">
        <f t="shared" si="23"/>
        <v>96.54986843023859</v>
      </c>
      <c r="R73" s="13">
        <f t="shared" si="24"/>
        <v>-21.302106099837903</v>
      </c>
      <c r="S73" s="13">
        <f t="shared" si="25"/>
        <v>95.44718345074848</v>
      </c>
      <c r="T73" s="4">
        <f t="shared" si="33"/>
        <v>0.9134</v>
      </c>
      <c r="U73" s="4">
        <f t="shared" si="34"/>
        <v>0.19783000664283681</v>
      </c>
      <c r="V73" s="4">
        <f t="shared" si="35"/>
        <v>0.46831999493879106</v>
      </c>
      <c r="W73" s="4">
        <f t="shared" si="36"/>
        <v>0.2043551088777219</v>
      </c>
      <c r="X73" s="4">
        <f t="shared" si="37"/>
        <v>0.5535285121258465</v>
      </c>
      <c r="Y73" s="15">
        <f t="shared" si="38"/>
        <v>96.54986843023859</v>
      </c>
      <c r="Z73" s="5">
        <f t="shared" si="39"/>
        <v>8.189970909536145</v>
      </c>
      <c r="AA73" s="12">
        <f t="shared" si="40"/>
        <v>106.94932460609708</v>
      </c>
      <c r="AB73" s="5"/>
      <c r="AG73" s="4">
        <f t="shared" si="26"/>
        <v>96.54986843023859</v>
      </c>
      <c r="AH73" s="4">
        <f t="shared" si="27"/>
        <v>1.1109538932405434</v>
      </c>
      <c r="AI73" s="4">
        <f t="shared" si="28"/>
        <v>85.62094736633075</v>
      </c>
      <c r="AJ73" s="4">
        <f t="shared" si="29"/>
        <v>107.26245222443579</v>
      </c>
      <c r="AK73" s="4">
        <f t="shared" si="30"/>
        <v>1.494367440219239</v>
      </c>
      <c r="AL73" s="9" t="s">
        <v>3</v>
      </c>
      <c r="AN73" s="9" t="s">
        <v>35</v>
      </c>
      <c r="AP73" s="9" t="s">
        <v>56</v>
      </c>
      <c r="AQ73" s="4">
        <v>0.155</v>
      </c>
      <c r="AR73" s="4">
        <v>0.07</v>
      </c>
      <c r="AS73" s="4">
        <v>0.0866</v>
      </c>
      <c r="AU73" t="s">
        <v>3</v>
      </c>
      <c r="AV73" s="4">
        <v>0.4209</v>
      </c>
      <c r="AW73" s="4">
        <v>0.5067</v>
      </c>
      <c r="AX73" s="4">
        <v>0.9134</v>
      </c>
    </row>
    <row r="74" spans="1:50" ht="12.75" hidden="1">
      <c r="A74" s="11">
        <f t="shared" si="15"/>
        <v>0.2306</v>
      </c>
      <c r="B74" s="11">
        <f t="shared" si="15"/>
        <v>0.3262</v>
      </c>
      <c r="C74" s="11">
        <f t="shared" si="16"/>
        <v>0.7876</v>
      </c>
      <c r="D74" s="3">
        <f t="shared" si="17"/>
        <v>0.5567767014101778</v>
      </c>
      <c r="E74" s="4">
        <f t="shared" si="18"/>
        <v>0.7876</v>
      </c>
      <c r="F74" s="4">
        <f t="shared" si="19"/>
        <v>1.0700929491109747</v>
      </c>
      <c r="G74" s="13">
        <f t="shared" si="20"/>
        <v>0.5857995995009546</v>
      </c>
      <c r="H74" s="13">
        <f t="shared" si="21"/>
        <v>0.7876</v>
      </c>
      <c r="I74" s="13">
        <f t="shared" si="21"/>
        <v>0.9825860459322096</v>
      </c>
      <c r="J74" s="5">
        <f t="shared" si="31"/>
        <v>0.9504559270516716</v>
      </c>
      <c r="K74" s="5"/>
      <c r="L74" s="4">
        <v>1</v>
      </c>
      <c r="M74" s="4">
        <f t="shared" si="32"/>
        <v>1.0890577507598784</v>
      </c>
      <c r="N74" s="14">
        <f t="shared" si="22"/>
        <v>0.8367255361318006</v>
      </c>
      <c r="O74" s="14">
        <f t="shared" si="22"/>
        <v>0.9234964617123754</v>
      </c>
      <c r="P74" s="14">
        <f t="shared" si="22"/>
        <v>0.9941613248637832</v>
      </c>
      <c r="Q74" s="13">
        <f t="shared" si="23"/>
        <v>91.12558955863555</v>
      </c>
      <c r="R74" s="13">
        <f t="shared" si="24"/>
        <v>-43.385462790287434</v>
      </c>
      <c r="S74" s="13">
        <f t="shared" si="25"/>
        <v>-14.132972630281548</v>
      </c>
      <c r="T74" s="4">
        <f t="shared" si="33"/>
        <v>0.7876</v>
      </c>
      <c r="U74" s="4">
        <f t="shared" si="34"/>
        <v>0.19783000664283681</v>
      </c>
      <c r="V74" s="4">
        <f t="shared" si="35"/>
        <v>0.46831999493879106</v>
      </c>
      <c r="W74" s="4">
        <f t="shared" si="36"/>
        <v>0.14293683753796566</v>
      </c>
      <c r="X74" s="4">
        <f t="shared" si="37"/>
        <v>0.4549370854769727</v>
      </c>
      <c r="Y74" s="15">
        <f t="shared" si="38"/>
        <v>91.12558955863555</v>
      </c>
      <c r="Z74" s="5">
        <f t="shared" si="39"/>
        <v>-65.02824116650241</v>
      </c>
      <c r="AA74" s="12">
        <f t="shared" si="40"/>
        <v>-15.85383169133452</v>
      </c>
      <c r="AB74" s="5"/>
      <c r="AG74" s="4">
        <f t="shared" si="26"/>
        <v>91.12558955863555</v>
      </c>
      <c r="AH74" s="4">
        <f t="shared" si="27"/>
        <v>0.7345129170590713</v>
      </c>
      <c r="AI74" s="4">
        <f t="shared" si="28"/>
        <v>193.70137660391487</v>
      </c>
      <c r="AJ74" s="4">
        <f t="shared" si="29"/>
        <v>66.93292260544105</v>
      </c>
      <c r="AK74" s="4">
        <f t="shared" si="30"/>
        <v>-2.90245851979576</v>
      </c>
      <c r="AL74" s="9" t="s">
        <v>4</v>
      </c>
      <c r="AN74" s="9" t="s">
        <v>57</v>
      </c>
      <c r="AP74" s="9" t="s">
        <v>58</v>
      </c>
      <c r="AQ74" s="4">
        <v>0.4209</v>
      </c>
      <c r="AR74" s="4">
        <v>0.5067</v>
      </c>
      <c r="AS74" s="4">
        <v>0.9134</v>
      </c>
      <c r="AU74" t="s">
        <v>4</v>
      </c>
      <c r="AV74" s="4">
        <v>0.2306</v>
      </c>
      <c r="AW74" s="4">
        <v>0.3262</v>
      </c>
      <c r="AX74" s="4">
        <v>0.7876</v>
      </c>
    </row>
    <row r="75" spans="1:50" ht="12.75" hidden="1">
      <c r="A75" s="11">
        <f t="shared" si="15"/>
        <v>0.3144</v>
      </c>
      <c r="B75" s="11">
        <f t="shared" si="15"/>
        <v>0.1606</v>
      </c>
      <c r="C75" s="11">
        <f t="shared" si="16"/>
        <v>0.2989</v>
      </c>
      <c r="D75" s="3">
        <f t="shared" si="17"/>
        <v>0.5851442092154421</v>
      </c>
      <c r="E75" s="4">
        <f t="shared" si="18"/>
        <v>0.2989</v>
      </c>
      <c r="F75" s="4">
        <f t="shared" si="19"/>
        <v>0.9771014943960149</v>
      </c>
      <c r="G75" s="13">
        <f t="shared" si="20"/>
        <v>0.6156458101435257</v>
      </c>
      <c r="H75" s="13">
        <f t="shared" si="21"/>
        <v>0.2989</v>
      </c>
      <c r="I75" s="13">
        <f t="shared" si="21"/>
        <v>0.8971989719684312</v>
      </c>
      <c r="J75" s="5">
        <f t="shared" si="31"/>
        <v>0.9504559270516716</v>
      </c>
      <c r="K75" s="5"/>
      <c r="L75" s="4">
        <v>1</v>
      </c>
      <c r="M75" s="4">
        <f t="shared" si="32"/>
        <v>1.0890577507598784</v>
      </c>
      <c r="N75" s="14">
        <f t="shared" si="22"/>
        <v>0.8507010641278593</v>
      </c>
      <c r="O75" s="14">
        <f t="shared" si="22"/>
        <v>0.6686137521951034</v>
      </c>
      <c r="P75" s="14">
        <f t="shared" si="22"/>
        <v>0.9644867278480201</v>
      </c>
      <c r="Q75" s="13">
        <f t="shared" si="23"/>
        <v>61.559195254632</v>
      </c>
      <c r="R75" s="13">
        <f t="shared" si="24"/>
        <v>91.04365596637793</v>
      </c>
      <c r="S75" s="13">
        <f t="shared" si="25"/>
        <v>-59.17459513058334</v>
      </c>
      <c r="T75" s="4">
        <f t="shared" si="33"/>
        <v>0.2989</v>
      </c>
      <c r="U75" s="4">
        <f t="shared" si="34"/>
        <v>0.19783000664283681</v>
      </c>
      <c r="V75" s="4">
        <f t="shared" si="35"/>
        <v>0.46831999493879106</v>
      </c>
      <c r="W75" s="4">
        <f t="shared" si="36"/>
        <v>0.29257398101619203</v>
      </c>
      <c r="X75" s="4">
        <f t="shared" si="37"/>
        <v>0.3362646566164154</v>
      </c>
      <c r="Y75" s="15">
        <f t="shared" si="38"/>
        <v>61.559195254632</v>
      </c>
      <c r="Z75" s="5">
        <f t="shared" si="39"/>
        <v>75.82071662943991</v>
      </c>
      <c r="AA75" s="12">
        <f t="shared" si="40"/>
        <v>-105.67986463064693</v>
      </c>
      <c r="AB75" s="5"/>
      <c r="AG75" s="4">
        <f t="shared" si="26"/>
        <v>61.559195254632</v>
      </c>
      <c r="AH75" s="4">
        <f t="shared" si="27"/>
        <v>2.1128512931711114</v>
      </c>
      <c r="AI75" s="4">
        <f t="shared" si="28"/>
        <v>305.65779810186945</v>
      </c>
      <c r="AJ75" s="4">
        <f t="shared" si="29"/>
        <v>130.06542530032218</v>
      </c>
      <c r="AK75" s="4">
        <f t="shared" si="30"/>
        <v>-0.9484503459058903</v>
      </c>
      <c r="AL75" s="9" t="s">
        <v>5</v>
      </c>
      <c r="AP75" s="9" t="s">
        <v>59</v>
      </c>
      <c r="AQ75" s="4">
        <v>0.2306</v>
      </c>
      <c r="AR75" s="4">
        <v>0.3262</v>
      </c>
      <c r="AS75" s="4">
        <v>0.7876</v>
      </c>
      <c r="AU75" t="s">
        <v>5</v>
      </c>
      <c r="AV75" s="4">
        <v>0.3144</v>
      </c>
      <c r="AW75" s="4">
        <v>0.1606</v>
      </c>
      <c r="AX75" s="4">
        <v>0.2989</v>
      </c>
    </row>
    <row r="76" spans="1:50" ht="12.75" hidden="1">
      <c r="A76" s="11">
        <v>0.3127</v>
      </c>
      <c r="B76" s="11">
        <v>0.329</v>
      </c>
      <c r="C76" s="11">
        <v>1</v>
      </c>
      <c r="D76" s="3">
        <f t="shared" si="17"/>
        <v>0.9504559270516716</v>
      </c>
      <c r="E76" s="4">
        <f t="shared" si="18"/>
        <v>1</v>
      </c>
      <c r="F76" s="4">
        <f t="shared" si="19"/>
        <v>1.0890577507598784</v>
      </c>
      <c r="G76" s="13">
        <f t="shared" si="20"/>
        <v>1</v>
      </c>
      <c r="H76" s="13">
        <f t="shared" si="21"/>
        <v>1</v>
      </c>
      <c r="I76" s="13">
        <f t="shared" si="21"/>
        <v>1</v>
      </c>
      <c r="J76" s="5">
        <f t="shared" si="31"/>
        <v>0.9504559270516716</v>
      </c>
      <c r="K76" s="5"/>
      <c r="L76" s="4">
        <v>1</v>
      </c>
      <c r="M76" s="4">
        <f t="shared" si="32"/>
        <v>1.0890577507598784</v>
      </c>
      <c r="N76" s="14">
        <f>IF(G76&gt;0.008856,G76^(1/3),((903.3*G76)+16)/116)</f>
        <v>1</v>
      </c>
      <c r="O76" s="14">
        <f>IF(H76&gt;0.008856,H76^(1/3),((903.3*H76)+16)/116)</f>
        <v>1</v>
      </c>
      <c r="P76" s="14">
        <f t="shared" si="22"/>
        <v>1</v>
      </c>
      <c r="Q76" s="16">
        <f>116*O76-16</f>
        <v>100</v>
      </c>
      <c r="R76" s="13">
        <f>500*(N76-O76)</f>
        <v>0</v>
      </c>
      <c r="S76" s="13">
        <f>200*(O76-P76)</f>
        <v>0</v>
      </c>
      <c r="T76" s="4">
        <f t="shared" si="33"/>
        <v>1</v>
      </c>
      <c r="U76" s="4">
        <f t="shared" si="34"/>
        <v>0.19783000664283681</v>
      </c>
      <c r="V76" s="4">
        <f t="shared" si="35"/>
        <v>0.46831999493879106</v>
      </c>
      <c r="W76" s="4">
        <f t="shared" si="36"/>
        <v>0.19783000664283681</v>
      </c>
      <c r="X76" s="4">
        <f t="shared" si="37"/>
        <v>0.46831999493879106</v>
      </c>
      <c r="Y76" s="15">
        <f t="shared" si="38"/>
        <v>100</v>
      </c>
      <c r="Z76" s="5">
        <f t="shared" si="39"/>
        <v>0</v>
      </c>
      <c r="AA76" s="12">
        <f t="shared" si="40"/>
        <v>0</v>
      </c>
      <c r="AN76" s="9" t="s">
        <v>60</v>
      </c>
      <c r="AP76" s="9" t="s">
        <v>61</v>
      </c>
      <c r="AQ76" s="4">
        <v>0.3144</v>
      </c>
      <c r="AR76" s="4">
        <v>0.1606</v>
      </c>
      <c r="AS76" s="4">
        <v>0.2989</v>
      </c>
      <c r="AU76" t="s">
        <v>36</v>
      </c>
      <c r="AV76" s="4">
        <v>0.3127</v>
      </c>
      <c r="AW76" s="4">
        <v>0.329</v>
      </c>
      <c r="AX76" s="4">
        <v>1</v>
      </c>
    </row>
    <row r="77" spans="1:45" ht="12.75" hidden="1">
      <c r="A77" s="3"/>
      <c r="B77" s="3"/>
      <c r="C77" s="3"/>
      <c r="D77" s="3"/>
      <c r="AN77" s="9" t="s">
        <v>20</v>
      </c>
      <c r="AP77" s="9" t="s">
        <v>62</v>
      </c>
      <c r="AQ77">
        <v>0.3127</v>
      </c>
      <c r="AR77" s="4">
        <v>0.329</v>
      </c>
      <c r="AS77" s="5">
        <v>1</v>
      </c>
    </row>
    <row r="78" spans="1:50" ht="12.75" hidden="1">
      <c r="A78" s="3"/>
      <c r="B78" s="3"/>
      <c r="C78" s="3"/>
      <c r="D78" s="3"/>
      <c r="AN78" s="9" t="s">
        <v>63</v>
      </c>
      <c r="AV78" t="s">
        <v>18</v>
      </c>
      <c r="AW78" t="s">
        <v>19</v>
      </c>
      <c r="AX78" t="s">
        <v>3</v>
      </c>
    </row>
    <row r="79" spans="1:50" ht="12.75" hidden="1">
      <c r="A79" s="8" t="s">
        <v>18</v>
      </c>
      <c r="B79" s="8" t="s">
        <v>19</v>
      </c>
      <c r="C79" s="8" t="s">
        <v>3</v>
      </c>
      <c r="D79" s="8" t="s">
        <v>31</v>
      </c>
      <c r="E79" s="1" t="s">
        <v>3</v>
      </c>
      <c r="F79" s="1" t="s">
        <v>32</v>
      </c>
      <c r="G79" s="1" t="s">
        <v>18</v>
      </c>
      <c r="H79" s="1" t="s">
        <v>19</v>
      </c>
      <c r="I79" s="1" t="s">
        <v>37</v>
      </c>
      <c r="J79" s="1" t="s">
        <v>38</v>
      </c>
      <c r="K79" s="1"/>
      <c r="L79" s="1" t="s">
        <v>39</v>
      </c>
      <c r="M79" s="1" t="s">
        <v>40</v>
      </c>
      <c r="N79" s="1" t="s">
        <v>41</v>
      </c>
      <c r="O79" s="1" t="s">
        <v>42</v>
      </c>
      <c r="P79" s="1" t="s">
        <v>43</v>
      </c>
      <c r="Q79" s="1" t="s">
        <v>21</v>
      </c>
      <c r="R79" s="1" t="s">
        <v>44</v>
      </c>
      <c r="S79" s="1" t="s">
        <v>45</v>
      </c>
      <c r="T79" s="2" t="s">
        <v>46</v>
      </c>
      <c r="U79" s="1" t="s">
        <v>47</v>
      </c>
      <c r="V79" s="1" t="s">
        <v>48</v>
      </c>
      <c r="W79" s="1" t="s">
        <v>49</v>
      </c>
      <c r="X79" s="1" t="s">
        <v>50</v>
      </c>
      <c r="Y79" s="1" t="s">
        <v>21</v>
      </c>
      <c r="Z79" s="1" t="s">
        <v>51</v>
      </c>
      <c r="AA79" s="1" t="s">
        <v>52</v>
      </c>
      <c r="AB79" s="9" t="s">
        <v>64</v>
      </c>
      <c r="AC79" s="9" t="s">
        <v>65</v>
      </c>
      <c r="AD79" s="1" t="s">
        <v>66</v>
      </c>
      <c r="AE79" s="1" t="s">
        <v>67</v>
      </c>
      <c r="AF79" s="1" t="s">
        <v>68</v>
      </c>
      <c r="AG79" s="1" t="s">
        <v>21</v>
      </c>
      <c r="AH79" s="1" t="s">
        <v>22</v>
      </c>
      <c r="AI79" s="1" t="s">
        <v>23</v>
      </c>
      <c r="AJ79" s="1" t="s">
        <v>4</v>
      </c>
      <c r="AK79" s="1" t="s">
        <v>0</v>
      </c>
      <c r="AM79" s="9"/>
      <c r="AN79" s="9" t="s">
        <v>69</v>
      </c>
      <c r="AP79" s="9" t="s">
        <v>17</v>
      </c>
      <c r="AU79" t="s">
        <v>0</v>
      </c>
      <c r="AV79" s="4">
        <v>0.64</v>
      </c>
      <c r="AW79" s="4">
        <v>0.33</v>
      </c>
      <c r="AX79" s="4">
        <v>0.222</v>
      </c>
    </row>
    <row r="80" spans="1:50" ht="12.75" hidden="1">
      <c r="A80" s="11">
        <f aca="true" t="shared" si="41" ref="A80:C85">E28</f>
        <v>0.6236836917285161</v>
      </c>
      <c r="B80" s="11">
        <f t="shared" si="41"/>
        <v>0.34579240667432815</v>
      </c>
      <c r="C80" s="11">
        <f t="shared" si="41"/>
        <v>0.266401485775869</v>
      </c>
      <c r="D80" s="3">
        <f aca="true" t="shared" si="42" ref="D80:D85">(A80*C80)/B80</f>
        <v>0.48049135528628956</v>
      </c>
      <c r="E80" s="4">
        <f aca="true" t="shared" si="43" ref="E80:E85">C80</f>
        <v>0.266401485775869</v>
      </c>
      <c r="F80" s="4">
        <f aca="true" t="shared" si="44" ref="F80:F85">((1-A80-B80)*C80)/B80</f>
        <v>0.023515879991017754</v>
      </c>
      <c r="G80" s="13">
        <f aca="true" t="shared" si="45" ref="G80:G85">D80/J80</f>
        <v>0.505537754682409</v>
      </c>
      <c r="H80" s="13">
        <f aca="true" t="shared" si="46" ref="H80:I85">E80/L80</f>
        <v>0.266401485775869</v>
      </c>
      <c r="I80" s="13">
        <f t="shared" si="46"/>
        <v>0.021592867756195483</v>
      </c>
      <c r="J80" s="17">
        <f aca="true" t="shared" si="47" ref="J80:J85">$D$76</f>
        <v>0.9504559270516716</v>
      </c>
      <c r="K80" s="17"/>
      <c r="L80" s="4">
        <v>1</v>
      </c>
      <c r="M80" s="4">
        <f aca="true" t="shared" si="48" ref="M80:M85">$F$76</f>
        <v>1.0890577507598784</v>
      </c>
      <c r="N80" s="14">
        <f aca="true" t="shared" si="49" ref="N80:P85">IF(G80&gt;0.008856,G80^(1/3),((903.3*G80)+16)/116)</f>
        <v>0.7966199867302326</v>
      </c>
      <c r="O80" s="14">
        <f t="shared" si="49"/>
        <v>0.6434461611957603</v>
      </c>
      <c r="P80" s="14">
        <f t="shared" si="49"/>
        <v>0.27846467391715374</v>
      </c>
      <c r="Q80" s="13">
        <f aca="true" t="shared" si="50" ref="Q80:Q85">116*O80-16</f>
        <v>58.63975469870819</v>
      </c>
      <c r="R80" s="13">
        <f aca="true" t="shared" si="51" ref="R80:R85">500*(N80-O80)</f>
        <v>76.58691276723617</v>
      </c>
      <c r="S80" s="13">
        <f aca="true" t="shared" si="52" ref="S80:S85">200*(O80-P80)</f>
        <v>72.9962974557213</v>
      </c>
      <c r="T80" s="4">
        <f aca="true" t="shared" si="53" ref="T80:T85">E80/L80</f>
        <v>0.266401485775869</v>
      </c>
      <c r="U80" s="4">
        <f aca="true" t="shared" si="54" ref="U80:U85">(4*J80)/(J80+15*L80+3*M80)</f>
        <v>0.19783000664283681</v>
      </c>
      <c r="V80" s="4">
        <f aca="true" t="shared" si="55" ref="V80:V85">(9*L80)/(J80+15*L80+3*M80)</f>
        <v>0.46831999493879106</v>
      </c>
      <c r="W80" s="4">
        <f aca="true" t="shared" si="56" ref="W80:W85">(D80*4)/(D80+15*E80+3*F80)</f>
        <v>0.4226829818187911</v>
      </c>
      <c r="X80" s="4">
        <f aca="true" t="shared" si="57" ref="X80:X85">(9*E80)/(D80+15*E80+3*F80)</f>
        <v>0.5272885548141008</v>
      </c>
      <c r="Y80" s="15">
        <f aca="true" t="shared" si="58" ref="Y80:Y85">IF(T80&gt;0.008856,116*(E80)^(1/3)-16,903.3*T80)</f>
        <v>58.63975469870819</v>
      </c>
      <c r="Z80" s="5">
        <f aca="true" t="shared" si="59" ref="Z80:Z85">(13*Y80)*(W80-U80)</f>
        <v>171.40920299870484</v>
      </c>
      <c r="AA80" s="12">
        <f aca="true" t="shared" si="60" ref="AA80:AA85">(13*Y80)*(X80-V80)</f>
        <v>44.9527245183152</v>
      </c>
      <c r="AB80" s="6">
        <f aca="true" t="shared" si="61" ref="AB80:AB85">SQRT((Q70-Q80)^2+(R70-R80)^2+(S70-S80)^2)</f>
        <v>7.910370743305222</v>
      </c>
      <c r="AC80" s="6">
        <f aca="true" t="shared" si="62" ref="AC80:AC85">SQRT((Y70-Y80)^2+(Z70-Z80)^2+(AA70-AA80)^2)</f>
        <v>11.53147018701957</v>
      </c>
      <c r="AD80" s="3">
        <f>(AG80/AG70)-1</f>
        <v>0.10201974755224597</v>
      </c>
      <c r="AE80" s="3">
        <f>(AH80/AH70)-1</f>
        <v>-0.03973768180143</v>
      </c>
      <c r="AF80" s="3">
        <f aca="true" t="shared" si="63" ref="AF80:AF85">(AI80-AI70)/60</f>
        <v>0.01609670310716842</v>
      </c>
      <c r="AG80" s="6">
        <f aca="true" t="shared" si="64" ref="AG80:AG85">Y80</f>
        <v>58.63975469870819</v>
      </c>
      <c r="AH80" s="18">
        <f aca="true" t="shared" si="65" ref="AH80:AH85">AJ80/AG80</f>
        <v>3.0219380541918164</v>
      </c>
      <c r="AI80" s="18">
        <f aca="true" t="shared" si="66" ref="AI80:AI85">IF(AK80&gt;0,DEGREES(AK80),DEGREES(AK80)+360)</f>
        <v>14.69510925462761</v>
      </c>
      <c r="AJ80" s="18">
        <f aca="true" t="shared" si="67" ref="AJ80:AJ85">SQRT(Z80^2+AA80^2)</f>
        <v>177.20570621249965</v>
      </c>
      <c r="AK80" s="19">
        <f aca="true" t="shared" si="68" ref="AK80:AK85">ATAN2(Z80,AA80)</f>
        <v>0.25647804043354155</v>
      </c>
      <c r="AM80" s="3"/>
      <c r="AP80" s="9"/>
      <c r="AQ80" s="1" t="s">
        <v>18</v>
      </c>
      <c r="AR80" s="1" t="s">
        <v>19</v>
      </c>
      <c r="AS80" s="1" t="s">
        <v>3</v>
      </c>
      <c r="AU80" t="s">
        <v>1</v>
      </c>
      <c r="AV80" s="4">
        <v>0.29</v>
      </c>
      <c r="AW80" s="4">
        <v>0.6</v>
      </c>
      <c r="AX80" s="4">
        <v>0.7067</v>
      </c>
    </row>
    <row r="81" spans="1:50" ht="12.75" hidden="1">
      <c r="A81" s="11">
        <f t="shared" si="41"/>
        <v>0.30891841520613283</v>
      </c>
      <c r="B81" s="11">
        <f t="shared" si="41"/>
        <v>0.5973300978721966</v>
      </c>
      <c r="C81" s="11">
        <f t="shared" si="41"/>
        <v>0.46694067043666343</v>
      </c>
      <c r="D81" s="3">
        <f t="shared" si="42"/>
        <v>0.24148552436988682</v>
      </c>
      <c r="E81" s="4">
        <f t="shared" si="43"/>
        <v>0.46694067043666343</v>
      </c>
      <c r="F81" s="4">
        <f t="shared" si="44"/>
        <v>0.07328675101686444</v>
      </c>
      <c r="G81" s="13">
        <f t="shared" si="45"/>
        <v>0.25407335311062607</v>
      </c>
      <c r="H81" s="13">
        <f t="shared" si="46"/>
        <v>0.46694067043666343</v>
      </c>
      <c r="I81" s="13">
        <f t="shared" si="46"/>
        <v>0.06729372337300697</v>
      </c>
      <c r="J81" s="17">
        <f t="shared" si="47"/>
        <v>0.9504559270516716</v>
      </c>
      <c r="K81" s="17"/>
      <c r="L81" s="4">
        <v>1</v>
      </c>
      <c r="M81" s="4">
        <f t="shared" si="48"/>
        <v>1.0890577507598784</v>
      </c>
      <c r="N81" s="14">
        <f t="shared" si="49"/>
        <v>0.6333635114578722</v>
      </c>
      <c r="O81" s="14">
        <f t="shared" si="49"/>
        <v>0.7758073697501957</v>
      </c>
      <c r="P81" s="14">
        <f t="shared" si="49"/>
        <v>0.40674746304926995</v>
      </c>
      <c r="Q81" s="13">
        <f t="shared" si="50"/>
        <v>73.9936548910227</v>
      </c>
      <c r="R81" s="13">
        <f t="shared" si="51"/>
        <v>-71.22192914616177</v>
      </c>
      <c r="S81" s="13">
        <f t="shared" si="52"/>
        <v>73.81198134018516</v>
      </c>
      <c r="T81" s="4">
        <f t="shared" si="53"/>
        <v>0.46694067043666343</v>
      </c>
      <c r="U81" s="4">
        <f t="shared" si="54"/>
        <v>0.19783000664283681</v>
      </c>
      <c r="V81" s="4">
        <f t="shared" si="55"/>
        <v>0.46831999493879106</v>
      </c>
      <c r="W81" s="4">
        <f t="shared" si="56"/>
        <v>0.12938822745212333</v>
      </c>
      <c r="X81" s="4">
        <f t="shared" si="57"/>
        <v>0.5629215586283804</v>
      </c>
      <c r="Y81" s="15">
        <f t="shared" si="58"/>
        <v>73.9936548910227</v>
      </c>
      <c r="Z81" s="5">
        <f t="shared" si="59"/>
        <v>-65.83534606434802</v>
      </c>
      <c r="AA81" s="12">
        <f t="shared" si="60"/>
        <v>90.99890092538155</v>
      </c>
      <c r="AB81" s="6">
        <f t="shared" si="61"/>
        <v>19.055183814112713</v>
      </c>
      <c r="AC81" s="6">
        <f t="shared" si="62"/>
        <v>22.94469737888935</v>
      </c>
      <c r="AD81" s="3">
        <f aca="true" t="shared" si="69" ref="AD81:AE85">(AG81/AG71)-1</f>
        <v>-0.14999441485179954</v>
      </c>
      <c r="AE81" s="3">
        <f t="shared" si="69"/>
        <v>0.00730721121717437</v>
      </c>
      <c r="AF81" s="3">
        <f t="shared" si="63"/>
        <v>0.003730282254736276</v>
      </c>
      <c r="AG81" s="6">
        <f t="shared" si="64"/>
        <v>73.9936548910227</v>
      </c>
      <c r="AH81" s="18">
        <f t="shared" si="65"/>
        <v>1.517926505312653</v>
      </c>
      <c r="AI81" s="18">
        <f t="shared" si="66"/>
        <v>125.88476342014549</v>
      </c>
      <c r="AJ81" s="18">
        <f t="shared" si="67"/>
        <v>112.31692998404057</v>
      </c>
      <c r="AK81" s="19">
        <f t="shared" si="68"/>
        <v>2.1971035997756565</v>
      </c>
      <c r="AM81" s="3"/>
      <c r="AN81" s="9"/>
      <c r="AP81" s="9" t="s">
        <v>53</v>
      </c>
      <c r="AQ81" s="4">
        <v>0.64</v>
      </c>
      <c r="AR81" s="4">
        <v>0.33</v>
      </c>
      <c r="AS81" s="4">
        <v>0.2126</v>
      </c>
      <c r="AU81" t="s">
        <v>2</v>
      </c>
      <c r="AV81" s="4">
        <v>0.15</v>
      </c>
      <c r="AW81" s="4">
        <v>0.06</v>
      </c>
      <c r="AX81" s="4">
        <v>0.0713</v>
      </c>
    </row>
    <row r="82" spans="1:50" ht="12.75" hidden="1">
      <c r="A82" s="11">
        <f t="shared" si="41"/>
        <v>0.15518036453860956</v>
      </c>
      <c r="B82" s="11">
        <f t="shared" si="41"/>
        <v>0.07130369487168099</v>
      </c>
      <c r="C82" s="11">
        <f t="shared" si="41"/>
        <v>0.09412574325119108</v>
      </c>
      <c r="D82" s="3">
        <f t="shared" si="42"/>
        <v>0.204848671257126</v>
      </c>
      <c r="E82" s="4">
        <f t="shared" si="43"/>
        <v>0.09412574325119108</v>
      </c>
      <c r="F82" s="4">
        <f t="shared" si="44"/>
        <v>1.021093829088048</v>
      </c>
      <c r="G82" s="13">
        <f t="shared" si="45"/>
        <v>0.21552674398335295</v>
      </c>
      <c r="H82" s="13">
        <f t="shared" si="46"/>
        <v>0.09412574325119108</v>
      </c>
      <c r="I82" s="13">
        <f t="shared" si="46"/>
        <v>0.9375938313423606</v>
      </c>
      <c r="J82" s="17">
        <f t="shared" si="47"/>
        <v>0.9504559270516716</v>
      </c>
      <c r="K82" s="17"/>
      <c r="L82" s="4">
        <v>1</v>
      </c>
      <c r="M82" s="4">
        <f t="shared" si="48"/>
        <v>1.0890577507598784</v>
      </c>
      <c r="N82" s="14">
        <f t="shared" si="49"/>
        <v>0.5995614795623768</v>
      </c>
      <c r="O82" s="14">
        <f t="shared" si="49"/>
        <v>0.45488624657211807</v>
      </c>
      <c r="P82" s="14">
        <f t="shared" si="49"/>
        <v>0.9787495614061196</v>
      </c>
      <c r="Q82" s="13">
        <f t="shared" si="50"/>
        <v>36.766804602365696</v>
      </c>
      <c r="R82" s="13">
        <f t="shared" si="51"/>
        <v>72.33761649512938</v>
      </c>
      <c r="S82" s="13">
        <f t="shared" si="52"/>
        <v>-104.7726629668003</v>
      </c>
      <c r="T82" s="4">
        <f t="shared" si="53"/>
        <v>0.09412574325119108</v>
      </c>
      <c r="U82" s="4">
        <f t="shared" si="54"/>
        <v>0.19783000664283681</v>
      </c>
      <c r="V82" s="4">
        <f t="shared" si="55"/>
        <v>0.46831999493879106</v>
      </c>
      <c r="W82" s="4">
        <f t="shared" si="56"/>
        <v>0.17508372433495473</v>
      </c>
      <c r="X82" s="4">
        <f t="shared" si="57"/>
        <v>0.18101041398965</v>
      </c>
      <c r="Y82" s="15">
        <f t="shared" si="58"/>
        <v>36.766804602365696</v>
      </c>
      <c r="Z82" s="5">
        <f t="shared" si="59"/>
        <v>-10.87200552157393</v>
      </c>
      <c r="AA82" s="12">
        <f t="shared" si="60"/>
        <v>-137.3249179008803</v>
      </c>
      <c r="AB82" s="6">
        <f t="shared" si="61"/>
        <v>2.156909529708207</v>
      </c>
      <c r="AC82" s="6">
        <f t="shared" si="62"/>
        <v>4.524453042723969</v>
      </c>
      <c r="AD82" s="3">
        <f t="shared" si="69"/>
        <v>0.04092570654218863</v>
      </c>
      <c r="AE82" s="3">
        <f t="shared" si="69"/>
        <v>-0.008563909032126893</v>
      </c>
      <c r="AF82" s="3">
        <f t="shared" si="63"/>
        <v>-0.002471665039770225</v>
      </c>
      <c r="AG82" s="6">
        <f t="shared" si="64"/>
        <v>36.766804602365696</v>
      </c>
      <c r="AH82" s="18">
        <f t="shared" si="65"/>
        <v>3.746711609427146</v>
      </c>
      <c r="AI82" s="18">
        <f t="shared" si="66"/>
        <v>265.4733383363741</v>
      </c>
      <c r="AJ82" s="18">
        <f t="shared" si="67"/>
        <v>137.75461364522297</v>
      </c>
      <c r="AK82" s="19">
        <f t="shared" si="68"/>
        <v>-1.6498014769489715</v>
      </c>
      <c r="AM82" s="3"/>
      <c r="AP82" s="9" t="s">
        <v>55</v>
      </c>
      <c r="AQ82" s="4">
        <v>0.3</v>
      </c>
      <c r="AR82" s="4">
        <v>0.6</v>
      </c>
      <c r="AS82" s="4">
        <v>0.7152</v>
      </c>
      <c r="AU82" t="s">
        <v>36</v>
      </c>
      <c r="AV82" s="4">
        <v>0.3127</v>
      </c>
      <c r="AW82" s="4">
        <v>0.329</v>
      </c>
      <c r="AX82" s="4">
        <v>1</v>
      </c>
    </row>
    <row r="83" spans="1:50" ht="12.75" hidden="1">
      <c r="A83" s="11">
        <f t="shared" si="41"/>
        <v>0.43048830911638525</v>
      </c>
      <c r="B83" s="11">
        <f t="shared" si="41"/>
        <v>0.4999952865916076</v>
      </c>
      <c r="C83" s="11">
        <f t="shared" si="41"/>
        <v>0.8581855322991613</v>
      </c>
      <c r="D83" s="3">
        <f t="shared" si="42"/>
        <v>0.7388846427453742</v>
      </c>
      <c r="E83" s="4">
        <f t="shared" si="43"/>
        <v>0.8581855322991613</v>
      </c>
      <c r="F83" s="4">
        <f t="shared" si="44"/>
        <v>0.11931706962187438</v>
      </c>
      <c r="G83" s="13">
        <f t="shared" si="45"/>
        <v>0.7774002157442538</v>
      </c>
      <c r="H83" s="13">
        <f t="shared" si="46"/>
        <v>0.8581855322991613</v>
      </c>
      <c r="I83" s="13">
        <f t="shared" si="46"/>
        <v>0.10955991042589079</v>
      </c>
      <c r="J83" s="17">
        <f t="shared" si="47"/>
        <v>0.9504559270516716</v>
      </c>
      <c r="K83" s="17"/>
      <c r="L83" s="4">
        <v>1</v>
      </c>
      <c r="M83" s="4">
        <f t="shared" si="48"/>
        <v>1.0890577507598784</v>
      </c>
      <c r="N83" s="14">
        <f t="shared" si="49"/>
        <v>0.9194925587524605</v>
      </c>
      <c r="O83" s="14">
        <f t="shared" si="49"/>
        <v>0.950299271289728</v>
      </c>
      <c r="P83" s="14">
        <f t="shared" si="49"/>
        <v>0.4785021456146624</v>
      </c>
      <c r="Q83" s="13">
        <f t="shared" si="50"/>
        <v>94.23471546960845</v>
      </c>
      <c r="R83" s="13">
        <f t="shared" si="51"/>
        <v>-15.403356268633761</v>
      </c>
      <c r="S83" s="13">
        <f t="shared" si="52"/>
        <v>94.35942513501313</v>
      </c>
      <c r="T83" s="4">
        <f t="shared" si="53"/>
        <v>0.8581855322991613</v>
      </c>
      <c r="U83" s="4">
        <f t="shared" si="54"/>
        <v>0.19783000664283681</v>
      </c>
      <c r="V83" s="4">
        <f t="shared" si="55"/>
        <v>0.46831999493879106</v>
      </c>
      <c r="W83" s="4">
        <f t="shared" si="56"/>
        <v>0.21156902029024519</v>
      </c>
      <c r="X83" s="4">
        <f t="shared" si="57"/>
        <v>0.5528905177236461</v>
      </c>
      <c r="Y83" s="15">
        <f t="shared" si="58"/>
        <v>94.23471546960845</v>
      </c>
      <c r="Z83" s="5">
        <f t="shared" si="59"/>
        <v>16.830996544655736</v>
      </c>
      <c r="AA83" s="12">
        <f t="shared" si="60"/>
        <v>103.60322897270902</v>
      </c>
      <c r="AB83" s="6">
        <f t="shared" si="61"/>
        <v>6.429494611219208</v>
      </c>
      <c r="AC83" s="6">
        <f t="shared" si="62"/>
        <v>9.551105341565819</v>
      </c>
      <c r="AD83" s="3">
        <f t="shared" si="69"/>
        <v>-0.023978830818427666</v>
      </c>
      <c r="AE83" s="3">
        <f t="shared" si="69"/>
        <v>0.0025890833009067915</v>
      </c>
      <c r="AF83" s="3">
        <f t="shared" si="63"/>
        <v>-0.08080656341461771</v>
      </c>
      <c r="AG83" s="6">
        <f t="shared" si="64"/>
        <v>94.23471546960845</v>
      </c>
      <c r="AH83" s="18">
        <f t="shared" si="65"/>
        <v>1.1138302454136098</v>
      </c>
      <c r="AI83" s="18">
        <f t="shared" si="66"/>
        <v>80.77255356145369</v>
      </c>
      <c r="AJ83" s="18">
        <f t="shared" si="67"/>
        <v>104.96147625799567</v>
      </c>
      <c r="AK83" s="19">
        <f t="shared" si="68"/>
        <v>1.409747004890839</v>
      </c>
      <c r="AM83" s="3"/>
      <c r="AP83" s="9" t="s">
        <v>56</v>
      </c>
      <c r="AQ83" s="4">
        <v>0.15</v>
      </c>
      <c r="AR83" s="4">
        <v>0.06</v>
      </c>
      <c r="AS83" s="4">
        <v>0.0722</v>
      </c>
      <c r="AU83" t="s">
        <v>3</v>
      </c>
      <c r="AV83" s="4">
        <v>0.4172</v>
      </c>
      <c r="AW83" s="4">
        <v>0.5018</v>
      </c>
      <c r="AX83" s="4">
        <v>0.9287</v>
      </c>
    </row>
    <row r="84" spans="1:50" ht="12.75" hidden="1">
      <c r="A84" s="11">
        <f t="shared" si="41"/>
        <v>0.21755827660847077</v>
      </c>
      <c r="B84" s="11">
        <f t="shared" si="41"/>
        <v>0.28451554361515824</v>
      </c>
      <c r="C84" s="11">
        <f t="shared" si="41"/>
        <v>0.6070293300237205</v>
      </c>
      <c r="D84" s="3">
        <f t="shared" si="42"/>
        <v>0.4641723724921974</v>
      </c>
      <c r="E84" s="4">
        <f t="shared" si="43"/>
        <v>0.6070293300237205</v>
      </c>
      <c r="F84" s="4">
        <f t="shared" si="44"/>
        <v>1.0623524868636307</v>
      </c>
      <c r="G84" s="13">
        <f t="shared" si="45"/>
        <v>0.4883681181641604</v>
      </c>
      <c r="H84" s="13">
        <f t="shared" si="46"/>
        <v>0.6070293300237205</v>
      </c>
      <c r="I84" s="13">
        <f t="shared" si="46"/>
        <v>0.9754785603631998</v>
      </c>
      <c r="J84" s="17">
        <f t="shared" si="47"/>
        <v>0.9504559270516716</v>
      </c>
      <c r="K84" s="17"/>
      <c r="L84" s="4">
        <v>1</v>
      </c>
      <c r="M84" s="4">
        <f t="shared" si="48"/>
        <v>1.0890577507598784</v>
      </c>
      <c r="N84" s="14">
        <f t="shared" si="49"/>
        <v>0.7874973508141859</v>
      </c>
      <c r="O84" s="14">
        <f t="shared" si="49"/>
        <v>0.8467136448372001</v>
      </c>
      <c r="P84" s="14">
        <f t="shared" si="49"/>
        <v>0.9917584502426496</v>
      </c>
      <c r="Q84" s="13">
        <f t="shared" si="50"/>
        <v>82.21878280111521</v>
      </c>
      <c r="R84" s="13">
        <f t="shared" si="51"/>
        <v>-29.608147011507103</v>
      </c>
      <c r="S84" s="13">
        <f t="shared" si="52"/>
        <v>-29.0089610810899</v>
      </c>
      <c r="T84" s="4">
        <f t="shared" si="53"/>
        <v>0.6070293300237205</v>
      </c>
      <c r="U84" s="4">
        <f t="shared" si="54"/>
        <v>0.19783000664283681</v>
      </c>
      <c r="V84" s="4">
        <f t="shared" si="55"/>
        <v>0.46831999493879106</v>
      </c>
      <c r="W84" s="4">
        <f t="shared" si="56"/>
        <v>0.1455465667363438</v>
      </c>
      <c r="X84" s="4">
        <f t="shared" si="57"/>
        <v>0.42826725649871905</v>
      </c>
      <c r="Y84" s="15">
        <f t="shared" si="58"/>
        <v>82.21878280111521</v>
      </c>
      <c r="Z84" s="5">
        <f t="shared" si="59"/>
        <v>-55.882850266972405</v>
      </c>
      <c r="AA84" s="12">
        <f t="shared" si="60"/>
        <v>-42.81013623112406</v>
      </c>
      <c r="AB84" s="6">
        <f t="shared" si="61"/>
        <v>22.145895084024556</v>
      </c>
      <c r="AC84" s="6">
        <f t="shared" si="62"/>
        <v>29.82635974709107</v>
      </c>
      <c r="AD84" s="3">
        <f t="shared" si="69"/>
        <v>-0.0977421029664689</v>
      </c>
      <c r="AE84" s="3">
        <f t="shared" si="69"/>
        <v>0.1656755115451236</v>
      </c>
      <c r="AF84" s="3">
        <f t="shared" si="63"/>
        <v>0.3958873435538403</v>
      </c>
      <c r="AG84" s="6">
        <f t="shared" si="64"/>
        <v>82.21878280111521</v>
      </c>
      <c r="AH84" s="18">
        <f t="shared" si="65"/>
        <v>0.8562037203293339</v>
      </c>
      <c r="AI84" s="18">
        <f t="shared" si="66"/>
        <v>217.45461721714528</v>
      </c>
      <c r="AJ84" s="18">
        <f t="shared" si="67"/>
        <v>70.3960277152643</v>
      </c>
      <c r="AK84" s="19">
        <f t="shared" si="68"/>
        <v>-2.487886263076452</v>
      </c>
      <c r="AM84" s="3"/>
      <c r="AP84" s="9" t="s">
        <v>58</v>
      </c>
      <c r="AQ84" s="4">
        <v>0.4193</v>
      </c>
      <c r="AR84" s="4">
        <v>0.5053</v>
      </c>
      <c r="AS84" s="4">
        <v>0.9278</v>
      </c>
      <c r="AU84" t="s">
        <v>4</v>
      </c>
      <c r="AV84" s="4">
        <v>0.2197</v>
      </c>
      <c r="AW84" s="4">
        <v>0.3287</v>
      </c>
      <c r="AX84" s="4">
        <v>0.778</v>
      </c>
    </row>
    <row r="85" spans="1:50" ht="12.75" hidden="1">
      <c r="A85" s="11">
        <f t="shared" si="41"/>
        <v>0.3268334641754373</v>
      </c>
      <c r="B85" s="11">
        <f t="shared" si="41"/>
        <v>0.17339348118656125</v>
      </c>
      <c r="C85" s="11">
        <f t="shared" si="41"/>
        <v>0.35531218084560146</v>
      </c>
      <c r="D85" s="3">
        <f t="shared" si="42"/>
        <v>0.6697363138153419</v>
      </c>
      <c r="E85" s="4">
        <f t="shared" si="43"/>
        <v>0.35531218084560146</v>
      </c>
      <c r="F85" s="4">
        <f t="shared" si="44"/>
        <v>1.0241183968169796</v>
      </c>
      <c r="G85" s="13">
        <f t="shared" si="45"/>
        <v>0.7046474168380158</v>
      </c>
      <c r="H85" s="13">
        <f t="shared" si="46"/>
        <v>0.35531218084560146</v>
      </c>
      <c r="I85" s="13">
        <f t="shared" si="46"/>
        <v>0.9403710648975335</v>
      </c>
      <c r="J85" s="17">
        <f t="shared" si="47"/>
        <v>0.9504559270516716</v>
      </c>
      <c r="K85" s="17"/>
      <c r="L85" s="4">
        <v>1</v>
      </c>
      <c r="M85" s="4">
        <f t="shared" si="48"/>
        <v>1.0890577507598784</v>
      </c>
      <c r="N85" s="14">
        <f t="shared" si="49"/>
        <v>0.8898646500556089</v>
      </c>
      <c r="O85" s="14">
        <f t="shared" si="49"/>
        <v>0.7082773690891236</v>
      </c>
      <c r="P85" s="14">
        <f t="shared" si="49"/>
        <v>0.9797149889284434</v>
      </c>
      <c r="Q85" s="13">
        <f t="shared" si="50"/>
        <v>66.16017481433835</v>
      </c>
      <c r="R85" s="13">
        <f t="shared" si="51"/>
        <v>90.79364048324263</v>
      </c>
      <c r="S85" s="13">
        <f t="shared" si="52"/>
        <v>-54.28752396786396</v>
      </c>
      <c r="T85" s="4">
        <f t="shared" si="53"/>
        <v>0.35531218084560146</v>
      </c>
      <c r="U85" s="4">
        <f t="shared" si="54"/>
        <v>0.19783000664283681</v>
      </c>
      <c r="V85" s="4">
        <f t="shared" si="55"/>
        <v>0.46831999493879106</v>
      </c>
      <c r="W85" s="4">
        <f t="shared" si="56"/>
        <v>0.2953055478669045</v>
      </c>
      <c r="X85" s="4">
        <f t="shared" si="57"/>
        <v>0.3525010159132283</v>
      </c>
      <c r="Y85" s="15">
        <f t="shared" si="58"/>
        <v>66.16017481433835</v>
      </c>
      <c r="Z85" s="5">
        <f t="shared" si="59"/>
        <v>83.8369850175853</v>
      </c>
      <c r="AA85" s="12">
        <f t="shared" si="60"/>
        <v>-99.61385068894245</v>
      </c>
      <c r="AB85" s="6">
        <f t="shared" si="61"/>
        <v>6.71676895539264</v>
      </c>
      <c r="AC85" s="6">
        <f t="shared" si="62"/>
        <v>11.055591206288693</v>
      </c>
      <c r="AD85" s="3">
        <f t="shared" si="69"/>
        <v>0.07474073598062736</v>
      </c>
      <c r="AE85" s="3">
        <f t="shared" si="69"/>
        <v>-0.06859352871342717</v>
      </c>
      <c r="AF85" s="3">
        <f t="shared" si="63"/>
        <v>0.07378049883404003</v>
      </c>
      <c r="AG85" s="6">
        <f t="shared" si="64"/>
        <v>66.16017481433835</v>
      </c>
      <c r="AH85" s="18">
        <f t="shared" si="65"/>
        <v>1.967923367325777</v>
      </c>
      <c r="AI85" s="18">
        <f t="shared" si="66"/>
        <v>310.08462803191185</v>
      </c>
      <c r="AJ85" s="18">
        <f t="shared" si="67"/>
        <v>130.19815400349478</v>
      </c>
      <c r="AK85" s="19">
        <f t="shared" si="68"/>
        <v>-0.8711875882008203</v>
      </c>
      <c r="AM85" s="3"/>
      <c r="AP85" s="9" t="s">
        <v>59</v>
      </c>
      <c r="AQ85" s="4">
        <v>0.2246</v>
      </c>
      <c r="AR85" s="4">
        <v>0.3287</v>
      </c>
      <c r="AS85" s="4">
        <v>0.7874</v>
      </c>
      <c r="AU85" t="s">
        <v>5</v>
      </c>
      <c r="AV85" s="4">
        <v>0.3271</v>
      </c>
      <c r="AW85" s="4">
        <v>0.1576</v>
      </c>
      <c r="AX85" s="4">
        <v>0.2933</v>
      </c>
    </row>
    <row r="86" spans="1:45" ht="12.75" hidden="1">
      <c r="A86" s="3"/>
      <c r="B86" s="3"/>
      <c r="C86" s="3"/>
      <c r="D86" s="3"/>
      <c r="E86" s="4"/>
      <c r="F86" s="4"/>
      <c r="G86" s="13"/>
      <c r="H86" s="13"/>
      <c r="I86" s="13"/>
      <c r="J86" s="17"/>
      <c r="K86" s="17"/>
      <c r="L86" s="4"/>
      <c r="M86" s="4"/>
      <c r="N86" s="14"/>
      <c r="O86" s="14"/>
      <c r="P86" s="14"/>
      <c r="Q86" s="16"/>
      <c r="R86" s="13"/>
      <c r="S86" s="13"/>
      <c r="T86" s="4"/>
      <c r="U86" s="4"/>
      <c r="V86" s="4"/>
      <c r="W86" s="4"/>
      <c r="X86" s="4"/>
      <c r="Y86" s="15"/>
      <c r="Z86" s="5"/>
      <c r="AA86" s="12"/>
      <c r="AB86" s="6"/>
      <c r="AC86" s="6"/>
      <c r="AD86" s="6"/>
      <c r="AE86" s="6"/>
      <c r="AF86" s="6"/>
      <c r="AP86" s="9" t="s">
        <v>61</v>
      </c>
      <c r="AQ86" s="4">
        <v>0.3209</v>
      </c>
      <c r="AR86" s="4">
        <v>0.1542</v>
      </c>
      <c r="AS86" s="4">
        <v>0.2848</v>
      </c>
    </row>
    <row r="87" spans="1:50" ht="12.75" hidden="1">
      <c r="A87" s="3"/>
      <c r="E87" s="4"/>
      <c r="F87" s="4"/>
      <c r="G87" s="13"/>
      <c r="H87" s="13"/>
      <c r="I87" s="13"/>
      <c r="J87" s="17"/>
      <c r="K87" s="17"/>
      <c r="L87" s="4"/>
      <c r="M87" s="4"/>
      <c r="N87" s="14"/>
      <c r="O87" s="14"/>
      <c r="P87" s="14"/>
      <c r="Q87" s="16"/>
      <c r="R87" s="13"/>
      <c r="S87" s="13"/>
      <c r="T87" s="4"/>
      <c r="U87" s="4"/>
      <c r="V87" s="4"/>
      <c r="W87" s="4"/>
      <c r="X87" s="4"/>
      <c r="Y87" s="15"/>
      <c r="Z87" s="5"/>
      <c r="AA87" s="12"/>
      <c r="AB87" s="6"/>
      <c r="AC87" s="6"/>
      <c r="AD87" s="6"/>
      <c r="AE87" s="6"/>
      <c r="AF87" s="6"/>
      <c r="AP87" s="9" t="s">
        <v>62</v>
      </c>
      <c r="AQ87">
        <v>0.3127</v>
      </c>
      <c r="AR87" s="4">
        <v>0.329</v>
      </c>
      <c r="AS87" s="5">
        <v>1</v>
      </c>
      <c r="AV87" t="s">
        <v>18</v>
      </c>
      <c r="AW87" t="s">
        <v>19</v>
      </c>
      <c r="AX87" t="s">
        <v>3</v>
      </c>
    </row>
    <row r="88" spans="1:50" ht="12.75" hidden="1">
      <c r="A88" s="3"/>
      <c r="E88" s="4"/>
      <c r="F88" s="4"/>
      <c r="G88" s="13"/>
      <c r="H88" s="13"/>
      <c r="I88" s="13"/>
      <c r="J88" s="17"/>
      <c r="K88" s="17"/>
      <c r="L88" s="1" t="s">
        <v>72</v>
      </c>
      <c r="M88" s="1" t="s">
        <v>73</v>
      </c>
      <c r="N88" s="1" t="s">
        <v>74</v>
      </c>
      <c r="O88" s="1" t="s">
        <v>75</v>
      </c>
      <c r="P88" s="1" t="s">
        <v>76</v>
      </c>
      <c r="Q88" s="1" t="s">
        <v>77</v>
      </c>
      <c r="R88" s="1" t="s">
        <v>78</v>
      </c>
      <c r="S88" s="1" t="s">
        <v>79</v>
      </c>
      <c r="T88" s="1" t="s">
        <v>80</v>
      </c>
      <c r="U88" s="1" t="s">
        <v>81</v>
      </c>
      <c r="V88" s="1" t="s">
        <v>82</v>
      </c>
      <c r="W88" s="1" t="s">
        <v>83</v>
      </c>
      <c r="X88" s="1" t="s">
        <v>84</v>
      </c>
      <c r="Y88" s="1" t="s">
        <v>85</v>
      </c>
      <c r="Z88" s="1" t="s">
        <v>86</v>
      </c>
      <c r="AA88" s="1" t="s">
        <v>63</v>
      </c>
      <c r="AU88" t="s">
        <v>0</v>
      </c>
      <c r="AV88" s="4">
        <v>0.68</v>
      </c>
      <c r="AW88" s="4">
        <v>0.32</v>
      </c>
      <c r="AX88" s="4">
        <v>0.2095</v>
      </c>
    </row>
    <row r="89" spans="1:50" ht="12.75" hidden="1">
      <c r="A89" s="3"/>
      <c r="E89" s="4"/>
      <c r="F89" s="4"/>
      <c r="G89" s="13"/>
      <c r="H89" s="13"/>
      <c r="I89" s="13"/>
      <c r="J89" s="17"/>
      <c r="K89" s="2" t="s">
        <v>0</v>
      </c>
      <c r="L89" s="4">
        <f>Q70-Q80</f>
        <v>-5.428589627523181</v>
      </c>
      <c r="M89" s="4">
        <f>O89-P89</f>
        <v>-5.249508102170893</v>
      </c>
      <c r="N89" s="14">
        <f>SQRT(ABS(Q89^2+R89^2-M89^2))</f>
        <v>2.3552164736450654</v>
      </c>
      <c r="O89" s="14">
        <f>SQRT(R70^2+S70^2)</f>
        <v>100.5522624381201</v>
      </c>
      <c r="P89" s="14">
        <f>SQRT(R80^2+S80^2)</f>
        <v>105.80177054029099</v>
      </c>
      <c r="Q89" s="16">
        <f>R70-R80</f>
        <v>-2.2349292911343355</v>
      </c>
      <c r="R89" s="13">
        <f>S70-S80</f>
        <v>-5.3018365701063175</v>
      </c>
      <c r="S89" s="13">
        <v>1</v>
      </c>
      <c r="T89" s="4">
        <f>1+(Y89*O89)</f>
        <v>5.524851809715404</v>
      </c>
      <c r="U89" s="4">
        <f>1+(Z89*O89)</f>
        <v>2.5082839365718015</v>
      </c>
      <c r="V89" s="4">
        <v>1.7</v>
      </c>
      <c r="W89" s="4">
        <v>1</v>
      </c>
      <c r="X89" s="4">
        <v>1</v>
      </c>
      <c r="Y89" s="15">
        <v>0.045</v>
      </c>
      <c r="Z89" s="5">
        <v>0.015</v>
      </c>
      <c r="AA89" s="6">
        <f>SQRT((L89/(V89*S89))^2+(M89/(W89*T89))^2+(N89/(X89*U89))^2)</f>
        <v>3.461440737660948</v>
      </c>
      <c r="AB89" s="6"/>
      <c r="AC89" s="6"/>
      <c r="AD89" s="6"/>
      <c r="AE89" s="6"/>
      <c r="AF89" s="6"/>
      <c r="AP89" s="9" t="s">
        <v>54</v>
      </c>
      <c r="AU89" t="s">
        <v>1</v>
      </c>
      <c r="AV89" s="4">
        <v>0.265</v>
      </c>
      <c r="AW89" s="4">
        <v>0.69</v>
      </c>
      <c r="AX89" s="4">
        <v>0.7216</v>
      </c>
    </row>
    <row r="90" spans="1:50" ht="12.75" hidden="1">
      <c r="A90" s="3"/>
      <c r="E90" s="4"/>
      <c r="F90" s="4"/>
      <c r="G90" s="13"/>
      <c r="H90" s="13"/>
      <c r="I90" s="13"/>
      <c r="J90" s="17"/>
      <c r="K90" s="2" t="s">
        <v>1</v>
      </c>
      <c r="L90" s="4">
        <f>Q71-Q81</f>
        <v>13.057131814245523</v>
      </c>
      <c r="M90" s="4">
        <f>O90-P90</f>
        <v>13.876062000551983</v>
      </c>
      <c r="N90" s="14">
        <f>SQRT(ABS(Q90^2+R90^2-M90^2))</f>
        <v>0.25737585721628337</v>
      </c>
      <c r="O90" s="14">
        <f aca="true" t="shared" si="70" ref="O90:O95">SQRT(R71^2+S71^2)</f>
        <v>116.44687549379054</v>
      </c>
      <c r="P90" s="14">
        <f aca="true" t="shared" si="71" ref="P90:P95">SQRT(R81^2+S81^2)</f>
        <v>102.57081349323856</v>
      </c>
      <c r="Q90" s="16">
        <f>R71-R81</f>
        <v>-9.437531020114633</v>
      </c>
      <c r="R90" s="13">
        <f>S71-S81</f>
        <v>10.175674288194102</v>
      </c>
      <c r="S90" s="13">
        <v>1</v>
      </c>
      <c r="T90" s="4">
        <f>1+(Y90*O90)</f>
        <v>6.240109397220574</v>
      </c>
      <c r="U90" s="4">
        <f>1+(Z90*O90)</f>
        <v>2.746703132406858</v>
      </c>
      <c r="V90" s="4">
        <v>1.7</v>
      </c>
      <c r="W90" s="4">
        <v>1</v>
      </c>
      <c r="X90" s="4">
        <v>1</v>
      </c>
      <c r="Y90" s="15">
        <v>0.045</v>
      </c>
      <c r="Z90" s="5">
        <v>0.015</v>
      </c>
      <c r="AA90" s="6">
        <f>SQRT((L90/(V90*S90))^2+(M90/(W90*T90))^2+(N90/(X90*U90))^2)</f>
        <v>7.996636755416874</v>
      </c>
      <c r="AB90" s="6"/>
      <c r="AC90" s="6"/>
      <c r="AD90" s="6"/>
      <c r="AE90" s="6"/>
      <c r="AF90" s="6"/>
      <c r="AP90" s="9"/>
      <c r="AQ90" s="1" t="s">
        <v>18</v>
      </c>
      <c r="AR90" s="1" t="s">
        <v>19</v>
      </c>
      <c r="AS90" s="1" t="s">
        <v>3</v>
      </c>
      <c r="AU90" t="s">
        <v>2</v>
      </c>
      <c r="AV90" s="4">
        <v>0.15</v>
      </c>
      <c r="AW90" s="4">
        <v>0.06</v>
      </c>
      <c r="AX90" s="4">
        <v>0.0689</v>
      </c>
    </row>
    <row r="91" spans="1:50" ht="12.75" hidden="1">
      <c r="A91" s="3"/>
      <c r="E91" s="4"/>
      <c r="F91" s="4"/>
      <c r="G91" s="13"/>
      <c r="H91" s="13"/>
      <c r="I91" s="13"/>
      <c r="J91" s="17"/>
      <c r="K91" s="2" t="s">
        <v>2</v>
      </c>
      <c r="L91" s="4">
        <f>Q72-Q82</f>
        <v>-1.4455474066913396</v>
      </c>
      <c r="M91" s="4">
        <f>O91-P91</f>
        <v>-1.4613125768129862</v>
      </c>
      <c r="N91" s="14">
        <f>SQRT(ABS(Q91^2+R91^2-M91^2))</f>
        <v>0.6536183651047531</v>
      </c>
      <c r="O91" s="14">
        <f t="shared" si="70"/>
        <v>125.85734931275897</v>
      </c>
      <c r="P91" s="14">
        <f t="shared" si="71"/>
        <v>127.31866188957196</v>
      </c>
      <c r="Q91" s="16">
        <f>R72-R82</f>
        <v>-0.29643932402593975</v>
      </c>
      <c r="R91" s="13">
        <f>S72-S82</f>
        <v>1.5731418059174018</v>
      </c>
      <c r="S91" s="13">
        <v>1</v>
      </c>
      <c r="T91" s="4">
        <f>1+(Y91*O91)</f>
        <v>6.663580719074154</v>
      </c>
      <c r="U91" s="4">
        <f>1+(Z91*O91)</f>
        <v>2.8878602396913844</v>
      </c>
      <c r="V91" s="4">
        <v>1.7</v>
      </c>
      <c r="W91" s="4">
        <v>1</v>
      </c>
      <c r="X91" s="4">
        <v>1</v>
      </c>
      <c r="Y91" s="15">
        <v>0.045</v>
      </c>
      <c r="Z91" s="5">
        <v>0.015</v>
      </c>
      <c r="AA91" s="6">
        <f>SQRT((L91/(V91*S91))^2+(M91/(W91*T91))^2+(N91/(X91*U91))^2)</f>
        <v>0.9068439615751958</v>
      </c>
      <c r="AB91" s="6"/>
      <c r="AC91" s="6"/>
      <c r="AD91" s="6"/>
      <c r="AE91" s="6"/>
      <c r="AF91" s="6"/>
      <c r="AP91" s="9" t="s">
        <v>53</v>
      </c>
      <c r="AQ91" s="4">
        <v>0.64</v>
      </c>
      <c r="AR91" s="4">
        <v>0.33</v>
      </c>
      <c r="AS91" s="4">
        <v>0.222</v>
      </c>
      <c r="AU91" t="s">
        <v>36</v>
      </c>
      <c r="AV91" s="4">
        <v>0.314</v>
      </c>
      <c r="AW91" s="4">
        <v>0.351</v>
      </c>
      <c r="AX91" s="4">
        <v>1</v>
      </c>
    </row>
    <row r="92" spans="1:50" ht="12.75" hidden="1">
      <c r="A92" s="4"/>
      <c r="B92" s="4"/>
      <c r="C92" s="4"/>
      <c r="D92" s="4"/>
      <c r="E92" s="4"/>
      <c r="F92" s="4"/>
      <c r="G92" s="13"/>
      <c r="H92" s="13"/>
      <c r="I92" s="13"/>
      <c r="J92" s="17"/>
      <c r="K92" s="2" t="s">
        <v>3</v>
      </c>
      <c r="L92" s="4">
        <f>Q73-Q83</f>
        <v>2.3151529606301438</v>
      </c>
      <c r="M92" s="4">
        <f>O92-P92</f>
        <v>2.1870305948158517</v>
      </c>
      <c r="N92" s="14">
        <f>SQRT(ABS(Q92^2+R92^2-M92^2))</f>
        <v>5.5852810942621085</v>
      </c>
      <c r="O92" s="14">
        <f t="shared" si="70"/>
        <v>97.79542194279642</v>
      </c>
      <c r="P92" s="14">
        <f t="shared" si="71"/>
        <v>95.60839134798057</v>
      </c>
      <c r="Q92" s="16">
        <f>R73-R83</f>
        <v>-5.898749831204142</v>
      </c>
      <c r="R92" s="13">
        <f>S73-S83</f>
        <v>1.087758315735357</v>
      </c>
      <c r="S92" s="13">
        <v>1</v>
      </c>
      <c r="T92" s="4">
        <f>1+(Y92*O92)</f>
        <v>5.400793987425839</v>
      </c>
      <c r="U92" s="4">
        <f>1+(Z92*O92)</f>
        <v>2.4669313291419463</v>
      </c>
      <c r="V92" s="4">
        <v>1.7</v>
      </c>
      <c r="W92" s="4">
        <v>1</v>
      </c>
      <c r="X92" s="4">
        <v>1</v>
      </c>
      <c r="Y92" s="15">
        <v>0.045</v>
      </c>
      <c r="Z92" s="5">
        <v>0.015</v>
      </c>
      <c r="AA92" s="6">
        <f>SQRT((L92/(V92*S92))^2+(M92/(W92*T92))^2+(N92/(X92*U92))^2)</f>
        <v>2.6729381272940773</v>
      </c>
      <c r="AB92" s="6"/>
      <c r="AC92" s="6"/>
      <c r="AD92" s="6"/>
      <c r="AE92" s="6"/>
      <c r="AF92" s="6"/>
      <c r="AP92" s="9" t="s">
        <v>55</v>
      </c>
      <c r="AQ92" s="4">
        <v>0.29</v>
      </c>
      <c r="AR92" s="4">
        <v>0.6</v>
      </c>
      <c r="AS92" s="4">
        <v>0.7067</v>
      </c>
      <c r="AU92" t="s">
        <v>3</v>
      </c>
      <c r="AV92" s="4">
        <v>0.4248</v>
      </c>
      <c r="AW92" s="4">
        <v>0.5476</v>
      </c>
      <c r="AX92" s="4">
        <v>0.9311</v>
      </c>
    </row>
    <row r="93" spans="1:50" ht="12.75" hidden="1">
      <c r="A93" s="4"/>
      <c r="B93" s="4"/>
      <c r="C93" s="4"/>
      <c r="D93" s="4"/>
      <c r="E93" s="4"/>
      <c r="F93" s="4"/>
      <c r="G93" s="13"/>
      <c r="H93" s="13"/>
      <c r="I93" s="13"/>
      <c r="J93" s="17"/>
      <c r="K93" s="2" t="s">
        <v>4</v>
      </c>
      <c r="L93" s="4">
        <f>Q74-Q84</f>
        <v>8.906806757520343</v>
      </c>
      <c r="M93" s="4">
        <f>O93-P93</f>
        <v>4.178648750374194</v>
      </c>
      <c r="N93" s="14">
        <f>SQRT(ABS(Q93^2+R93^2-M93^2))</f>
        <v>19.840573506776693</v>
      </c>
      <c r="O93" s="14">
        <f t="shared" si="70"/>
        <v>45.629368797910224</v>
      </c>
      <c r="P93" s="14">
        <f t="shared" si="71"/>
        <v>41.45072004753603</v>
      </c>
      <c r="Q93" s="16">
        <f>R74-R84</f>
        <v>-13.77731577878033</v>
      </c>
      <c r="R93" s="13">
        <f>S74-S84</f>
        <v>14.875988450808352</v>
      </c>
      <c r="S93" s="13">
        <v>1</v>
      </c>
      <c r="T93" s="4">
        <f>1+(Y93*O93)</f>
        <v>3.05332159590596</v>
      </c>
      <c r="U93" s="4">
        <f>1+(Z93*O93)</f>
        <v>1.6844405319686533</v>
      </c>
      <c r="V93" s="4">
        <v>1.7</v>
      </c>
      <c r="W93" s="4">
        <v>1</v>
      </c>
      <c r="X93" s="4">
        <v>1</v>
      </c>
      <c r="Y93" s="15">
        <v>0.045</v>
      </c>
      <c r="Z93" s="5">
        <v>0.015</v>
      </c>
      <c r="AA93" s="6">
        <f>SQRT((L93/(V93*S93))^2+(M93/(W93*T93))^2+(N93/(X93*U93))^2)</f>
        <v>12.963862184077836</v>
      </c>
      <c r="AB93" s="6"/>
      <c r="AC93" s="6"/>
      <c r="AD93" s="6"/>
      <c r="AE93" s="6"/>
      <c r="AF93" s="6"/>
      <c r="AP93" s="9" t="s">
        <v>56</v>
      </c>
      <c r="AQ93" s="4">
        <v>0.15</v>
      </c>
      <c r="AR93" s="4">
        <v>0.06</v>
      </c>
      <c r="AS93" s="4">
        <v>0.0713</v>
      </c>
      <c r="AU93" t="s">
        <v>4</v>
      </c>
      <c r="AV93" s="4">
        <v>0.2048</v>
      </c>
      <c r="AW93" s="4">
        <v>0.3602</v>
      </c>
      <c r="AX93" s="4">
        <v>0.7905</v>
      </c>
    </row>
    <row r="94" spans="1:50" ht="12.75" hidden="1">
      <c r="A94" s="4"/>
      <c r="B94" s="4"/>
      <c r="C94" s="4"/>
      <c r="D94" s="4"/>
      <c r="E94" s="4"/>
      <c r="F94" s="4"/>
      <c r="G94" s="13"/>
      <c r="H94" s="13"/>
      <c r="I94" s="13"/>
      <c r="J94" s="17"/>
      <c r="K94" s="2" t="s">
        <v>5</v>
      </c>
      <c r="L94" s="4">
        <f>Q75-Q85</f>
        <v>-4.600979559706346</v>
      </c>
      <c r="M94" s="4">
        <f>O94-P94</f>
        <v>2.798708426348796</v>
      </c>
      <c r="N94" s="14">
        <f>SQRT(ABS(Q94^2+R94^2-M94^2))</f>
        <v>4.014125488269515</v>
      </c>
      <c r="O94" s="14">
        <f t="shared" si="70"/>
        <v>108.58443719333191</v>
      </c>
      <c r="P94" s="14">
        <f t="shared" si="71"/>
        <v>105.78572876698311</v>
      </c>
      <c r="Q94" s="16">
        <f>R75-R85</f>
        <v>0.2500154831353001</v>
      </c>
      <c r="R94" s="13">
        <f>S75-S85</f>
        <v>-4.88707116271938</v>
      </c>
      <c r="S94" s="13">
        <v>1</v>
      </c>
      <c r="T94" s="4">
        <f>1+(Y94*O94)</f>
        <v>5.886299673699936</v>
      </c>
      <c r="U94" s="4">
        <f>1+(Z94*O94)</f>
        <v>2.6287665578999784</v>
      </c>
      <c r="V94" s="4">
        <v>1.7</v>
      </c>
      <c r="W94" s="4">
        <v>1</v>
      </c>
      <c r="X94" s="4">
        <v>1</v>
      </c>
      <c r="Y94" s="15">
        <v>0.045</v>
      </c>
      <c r="Z94" s="5">
        <v>0.015</v>
      </c>
      <c r="AA94" s="6">
        <f>SQRT((L94/(V94*S94))^2+(M94/(W94*T94))^2+(N94/(X94*U94))^2)</f>
        <v>3.143677673153629</v>
      </c>
      <c r="AB94" s="6"/>
      <c r="AC94" s="6"/>
      <c r="AD94" s="6"/>
      <c r="AE94" s="6"/>
      <c r="AF94" s="6"/>
      <c r="AP94" s="9" t="s">
        <v>58</v>
      </c>
      <c r="AQ94" s="4">
        <v>0.4172</v>
      </c>
      <c r="AR94" s="4">
        <v>0.5018</v>
      </c>
      <c r="AS94" s="4">
        <v>0.9287</v>
      </c>
      <c r="AU94" t="s">
        <v>5</v>
      </c>
      <c r="AV94" s="4">
        <v>0.3424</v>
      </c>
      <c r="AW94" s="4">
        <v>0.1544</v>
      </c>
      <c r="AX94" s="4">
        <v>0.2784</v>
      </c>
    </row>
    <row r="95" spans="2:26" ht="12.75" hidden="1">
      <c r="B95" s="20"/>
      <c r="C95" s="20"/>
      <c r="D95" s="20"/>
      <c r="E95" s="21"/>
      <c r="F95" s="21"/>
      <c r="G95" s="21"/>
      <c r="H95" s="22"/>
      <c r="I95" s="22"/>
      <c r="J95" s="22"/>
      <c r="K95" s="2"/>
      <c r="L95" s="23"/>
      <c r="M95" s="23"/>
      <c r="N95" s="24"/>
      <c r="O95" s="14"/>
      <c r="P95" s="14"/>
      <c r="S95" s="13"/>
      <c r="V95" s="4"/>
      <c r="W95" s="4"/>
      <c r="X95" s="4"/>
      <c r="Y95" s="15"/>
      <c r="Z95" s="5"/>
    </row>
    <row r="96" spans="2:50" ht="12.75">
      <c r="B96" s="20"/>
      <c r="C96" s="20"/>
      <c r="D96" s="20"/>
      <c r="E96" s="17"/>
      <c r="F96" s="17"/>
      <c r="G96" s="17"/>
      <c r="H96" s="22"/>
      <c r="I96" s="22"/>
      <c r="J96" s="22"/>
      <c r="K96" s="22"/>
      <c r="L96" s="23"/>
      <c r="M96" s="23"/>
      <c r="N96" s="24"/>
      <c r="AV96" s="25" t="s">
        <v>0</v>
      </c>
      <c r="AW96" s="25" t="s">
        <v>1</v>
      </c>
      <c r="AX96" s="25" t="s">
        <v>2</v>
      </c>
    </row>
    <row r="97" spans="2:50" ht="12.75">
      <c r="B97" s="20"/>
      <c r="C97" s="20"/>
      <c r="D97" s="20"/>
      <c r="E97" s="17"/>
      <c r="F97" s="17"/>
      <c r="G97" s="17"/>
      <c r="H97" s="22"/>
      <c r="I97" s="22"/>
      <c r="J97" s="22"/>
      <c r="K97" s="22"/>
      <c r="L97" s="23"/>
      <c r="M97" s="23"/>
      <c r="N97" s="24"/>
      <c r="AV97" s="17">
        <f>(AV55*AX55)/AW55</f>
        <v>0.3935647058823529</v>
      </c>
      <c r="AW97" s="17">
        <f>(AV56*AX56)/AW56</f>
        <v>0.3652789915966386</v>
      </c>
      <c r="AX97" s="17">
        <f>(AV57*AX57)/AW57</f>
        <v>0.19175714285714282</v>
      </c>
    </row>
    <row r="98" spans="2:50" ht="12.75">
      <c r="B98" s="20"/>
      <c r="C98" s="20"/>
      <c r="D98" s="20"/>
      <c r="H98" s="22"/>
      <c r="I98" s="22"/>
      <c r="J98" s="22"/>
      <c r="K98" s="22"/>
      <c r="L98" s="23"/>
      <c r="M98" s="23"/>
      <c r="N98" s="24"/>
      <c r="AV98" s="17">
        <f>AX55</f>
        <v>0.2124</v>
      </c>
      <c r="AW98" s="17">
        <f>AX56</f>
        <v>0.7011</v>
      </c>
      <c r="AX98" s="17">
        <f>AX57</f>
        <v>0.0866</v>
      </c>
    </row>
    <row r="99" spans="2:50" ht="12.75">
      <c r="B99" s="20"/>
      <c r="C99" s="20"/>
      <c r="D99" s="20"/>
      <c r="H99" s="22"/>
      <c r="I99" s="22"/>
      <c r="J99" s="22"/>
      <c r="K99" s="22"/>
      <c r="L99" s="23"/>
      <c r="M99" s="23"/>
      <c r="N99" s="24"/>
      <c r="AV99" s="17">
        <f>((1-AV55-AW55)*AX55)/AW55</f>
        <v>0.018741176470588216</v>
      </c>
      <c r="AW99" s="17">
        <f>((1-AV56-AW56)*AX56)/AW56</f>
        <v>0.11194033613445374</v>
      </c>
      <c r="AX99" s="17">
        <f>((1-AV57-AW57)*AX57)/AW57</f>
        <v>0.9587857142857141</v>
      </c>
    </row>
  </sheetData>
  <sheetProtection password="DFDF" sheet="1" objects="1" scenarios="1"/>
  <mergeCells count="5">
    <mergeCell ref="A1:Q1"/>
    <mergeCell ref="E26:G26"/>
    <mergeCell ref="A51:B51"/>
    <mergeCell ref="I26:K26"/>
    <mergeCell ref="N26:P26"/>
  </mergeCells>
  <dataValidations count="2">
    <dataValidation type="list" allowBlank="1" showInputMessage="1" showErrorMessage="1" sqref="A27 A14">
      <formula1>$N$41:$N$43</formula1>
    </dataValidation>
    <dataValidation type="list" allowBlank="1" showInputMessage="1" showErrorMessage="1" sqref="M27">
      <formula1>$AA$26:$AA$28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Tom Huffman</cp:lastModifiedBy>
  <dcterms:created xsi:type="dcterms:W3CDTF">2009-07-22T21:24:14Z</dcterms:created>
  <dcterms:modified xsi:type="dcterms:W3CDTF">2009-09-30T22:06:04Z</dcterms:modified>
  <cp:category/>
  <cp:version/>
  <cp:contentType/>
  <cp:contentStatus/>
</cp:coreProperties>
</file>