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0440" activeTab="0"/>
  </bookViews>
  <sheets>
    <sheet name="Sheet1" sheetId="1" r:id="rId1"/>
    <sheet name="PSW_Sheet" sheetId="2" state="veryHidden" r:id="rId2"/>
  </sheets>
  <definedNames>
    <definedName name="PSW_CALCULATE_0" hidden="1">'Sheet1'!$A$33</definedName>
    <definedName name="PSW_CALCULATE_1" hidden="1">'Sheet1'!$B$33</definedName>
    <definedName name="PSWInput_0_0" hidden="1">'Sheet1'!$B$4</definedName>
    <definedName name="PSWInput_0_1" hidden="1">'Sheet1'!$E$17</definedName>
    <definedName name="PSWInput_0_10" hidden="1">'Sheet1'!$I$19</definedName>
    <definedName name="PSWInput_0_11" hidden="1">'Sheet1'!$K$19</definedName>
    <definedName name="PSWInput_0_12" hidden="1">'Sheet1'!$M$19</definedName>
    <definedName name="PSWInput_0_13" hidden="1">'Sheet1'!$O$19</definedName>
    <definedName name="PSWInput_0_14" hidden="1">'Sheet1'!$C$19</definedName>
    <definedName name="PSWInput_0_15" hidden="1">'Sheet1'!$E$21</definedName>
    <definedName name="PSWInput_0_16" hidden="1">'Sheet1'!$G$21</definedName>
    <definedName name="PSWInput_0_17" hidden="1">'Sheet1'!$I$21</definedName>
    <definedName name="PSWInput_0_18" hidden="1">'Sheet1'!$K$21</definedName>
    <definedName name="PSWInput_0_19" hidden="1">'Sheet1'!$M$21</definedName>
    <definedName name="PSWInput_0_2" hidden="1">'Sheet1'!$G$17</definedName>
    <definedName name="PSWInput_0_20" hidden="1">'Sheet1'!$O$21</definedName>
    <definedName name="PSWInput_0_21" hidden="1">'Sheet1'!$C$21</definedName>
    <definedName name="PSWInput_0_3" hidden="1">'Sheet1'!$I$17</definedName>
    <definedName name="PSWInput_0_4" hidden="1">'Sheet1'!$K$17</definedName>
    <definedName name="PSWInput_0_5" hidden="1">'Sheet1'!$M$17</definedName>
    <definedName name="PSWInput_0_6" hidden="1">'Sheet1'!$O$17</definedName>
    <definedName name="PSWInput_0_7" hidden="1">'Sheet1'!$C$17</definedName>
    <definedName name="PSWInput_0_8" hidden="1">'Sheet1'!$E$19</definedName>
    <definedName name="PSWInput_0_9" hidden="1">'Sheet1'!$G$19</definedName>
    <definedName name="PSWList_0_0" hidden="1">'Sheet1'!$AO$4:$AO$7</definedName>
    <definedName name="PSWOutput_0" hidden="1">'Sheet1'!$A$1:$Q$33</definedName>
    <definedName name="SpreadsheetWEBApplicationId" hidden="1">'PSW_Sheet'!$A$15</definedName>
    <definedName name="SpreadsheetWEBDataID" hidden="1">'PSW_Sheet'!$A$16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</definedNames>
  <calcPr fullCalcOnLoad="1"/>
</workbook>
</file>

<file path=xl/sharedStrings.xml><?xml version="1.0" encoding="utf-8"?>
<sst xmlns="http://schemas.openxmlformats.org/spreadsheetml/2006/main" count="459" uniqueCount="161">
  <si>
    <t>Color</t>
  </si>
  <si>
    <t>Custom Reference</t>
  </si>
  <si>
    <t>Custom Test</t>
  </si>
  <si>
    <t>Reference</t>
  </si>
  <si>
    <t>Test</t>
  </si>
  <si>
    <t>Custom dE</t>
  </si>
  <si>
    <t xml:space="preserve"> a%3eFalse%3c%2fCellHasFormula%3e%0d%0a++++++++++++++++%3cFontName%3eArial%3c%2fFontName%3e%0d%0a++++++++++++++++%3cWrapText%3eFalse%3c%2fWrapText%3e%0d%0a++++++++++++++++%3cFontSize%3e10%3c%2fFontSize%3e%0d%0a++++++++++++++++%3cX%3e2%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33%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%3c%2fTRs%3e%0d%0a++++++++%3cPvtStyles+%2f%3e%0d%0a++++++++%3cSheetID%3e0%3c%2fSheetID%3e%0d%0a++++++%3c%2fTable%3e%0d%0a++++%3c%2fTableCollection%3e%0d%0a++%3c%2fTables%3e%0d%0a++%3cPageExportRanges%3e%0d%0a++++%3cExportRangesCollection%3e%0d%0a++++++%3cExportRanges%3e%0d%0a++++++++%3cRanges+%2f%3e%0d%0a++++++++%3cExportType%3ePdf%3c%2fExportType%3e%0d%0a++++++++%3cPageOrientation%3eLandscape%3c%2fPageOrientation%3e%0d%0a++++++++%3cPageSize%3eA4%3c%2fPageSize%3e%0d%0a++++++%3c%2fExportRanges%3e%0d%0a++++%3c%2fExportRangesCollection%3e%0d%0a++%3c%2fPageExportRanges%3e%0d%0a++%3cVersion%3e2.2.0.0%3c%2fVersion%3e%0d%0a%3c%2fWizardSettings%3e</t>
  </si>
  <si>
    <t xml:space="preserve"> 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7%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9%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40.5%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11%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0.0%25%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36.75%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13%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0.0%25%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15%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%3eB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31%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0.0%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32%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32%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%3ePagos.SpreadsheetWEB.Button.CALCULATE_Calculate%3c%2fText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33%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</t>
  </si>
  <si>
    <t xml:space="preserve"> 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40.5%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11%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0.0%25%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36.75%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13%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0.0%25%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15%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%3eR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Saturation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7%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9%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40.5%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11%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0.0%25%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36.75%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13%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0.0%25%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15%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%3eG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30%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30%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Hue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31%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</t>
  </si>
  <si>
    <t xml:space="preserve"> 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15%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27%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CIELAB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7%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9%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40.5%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11%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22%3c%2fStyle%3e%0d%0a++++++++++++++++%3cMerge%3eFalse%3c%2fMerge%3e%0d%0a++++++++++++++++%3cRowSpan+%2f%3e%0d%0a++++++++++++++++%3cColSpan+%2f%3e%0d%0a++++++++++++++++%3cFormat%3e0.0%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36.75%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13%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22%3c%2fStyle%3e%0d%0a++++++++++++++++%3cMerge%3eFalse%3c%2fMerge%3e%0d%0a++++++++++++++++%3cRowSpan+%2f%3e%0d%0a++++++++++++++++%3cColSpan+%2f%3e%0d%0a++++++++++++++++%3cFormat%3e0.0%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15%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28%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Lightness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7%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25%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9%3c%2fX%3e%0d%0a++++++++++++++++%3cY%3e29%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</t>
  </si>
  <si>
    <t xml:space="preserve"> 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CIE94%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7%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9%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40.5%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11%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22%3c%2fStyle%3e%0d%0a++++++++++++++++%3cMerge%3eFalse%3c%2fMerge%3e%0d%0a++++++++++++++++%3cRowSpan+%2f%3e%0d%0a++++++++++++++++%3cColSpan+%2f%3e%0d%0a++++++++++++++++%3cFormat%3e0.0%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36.75%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13%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22%3c%2fStyle%3e%0d%0a++++++++++++++++%3cMerge%3eFalse%3c%2fMerge%3e%0d%0a++++++++++++++++%3cRowSpan+%2f%3e%0d%0a++++++++++++++++%3cColSpan+%2f%3e%0d%0a++++++++++++++++%3cFormat%3e0.0%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15%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CIELUV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7%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9%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40.5%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11%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22%3c%2fStyle%3e%0d%0a++++++++++++++++%3cMerge%3eFalse%3c%2fMerge%3e%0d%0a++++++++++++++++%3cRowSpan+%2f%3e%0d%0a++++++++++++++++%3cColSpan+%2f%3e%0d%0a++++++++++++++++%3cFormat%3e0.0%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0.0%3c%2fFormat%3e%0d%0a++++++++++++++++%3cWidth%3e36.75%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13%3c%2fX%3e%0d%0a++++++++++++++++%3cY%3e27%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22%3c%2fStyle%3e%0d%0a++++++++++++++++%3cMerge%3eFalse%3c%2fMerge%3e%0d%0a++++++++++++++++%3cRowSpan+%2f%3e%0d%0a++++++++++++++++%3cColSpan+%2f%3e%0d%0a++++++++++++++++%3cFormat%3e0.0%3c%2fFormat%3e%0d%0a++++++++++++++++%3cWidth%3e36.75%3c%2fWidth%3e%0d%0a++++++++++++++++%3cText+%2f%3e%0d%0a++++++++++++++++%3cHeight%3e12.75%3c%2fHeight%3</t>
  </si>
  <si>
    <t xml:space="preserve"> 3cStyle%3eClass17%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18%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19%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CIEDE2000%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20%3c%2fStyle%3e%0d%0a++++++++++++++++%3cMerge%3eFalse%3c%2fMerge%3e%0d%0a++++++++++++++++%3cRowSpan+%2f%3e%0d%0a++++++++++++++++%3cColSpan+%2f%3e%0d%0a++++++++++++++++%3cFormat%3e0.0%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20%3c%2fStyle%3e%0d%0a++++++++++++++++%3cMerge%3eFalse%3c%2fMerge%3e%0d%0a++++++++++++++++%3cRowSpan+%2f%3e%0d%0a++++++++++++++++%3cColSpan+%2f%3e%0d%0a++++++++++++++++%3cFormat%3e0.0%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7%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9%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20%3c%2fStyle%3e%0d%0a++++++++++++++++%3cMerge%3eFalse%3c%2fMerge%3e%0d%0a++++++++++++++++%3cRowSpan+%2f%3e%0d%0a++++++++++++++++%3cColSpan+%2f%3e%0d%0a++++++++++++++++%3cFormat%3e0.0%3c%2fFormat%3e%0d%0a++++++++++++++++%3cWidth%3e40.5%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11%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21%3c%2fStyle%3e%0d%0a++++++++++++++++%3cMerge%3eFalse%3c%2fMerge%3e%0d%0a++++++++++++++++%3cRowSpan+%2f%3e%0d%0a++++++++++++++++%3cColSpan+%2f%3e%0d%0a++++++++++++++++%3cFormat%3e0.0%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20%3c%2fStyle%3e%0d%0a++++++++++++++++%3cMerge%3eFalse%3c%2fMerge%3e%0d%0a++++++++++++++++%3cRowSpan+%2f%3e%0d%0a++++++++++++++++%3cColSpan+%2f%3e%0d%0a++++++++++++++++%3cFormat%3e0.0%3c%2fFormat%3e%0d%0a++++++++++++++++%3cWidth%3e36.75%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13%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21%3c%2fStyle%3e%0d%0a++++++++++++++++%3cMerge%3eFalse%3c%2fMerge%3e%0d%0a++++++++++++++++%3cRowSpan+%2f%3e%0d%0a++++++++++++++++%3cColSpan+%2f%3e%0d%0a++++++++++++++++%3cFormat%3e0.0%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20%3c%2fStyle%3e%0d%0a++++++++++++++++%3cMerge%3eFalse%3c%2fMerge%3e%0d%0a++++++++++++++++%3cRowSpan+%2f%3e%0d%0a++++++++++++++++%3cColSpan+%2f%3e%0d%0a++++++++++++++++%3cFormat%3e0.0%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15%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18%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</t>
  </si>
  <si>
    <t xml:space="preserve"> 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Y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7%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9%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11%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0.0000%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13%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0.0000%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39.75%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15%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17%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</t>
  </si>
  <si>
    <t xml:space="preserve"> 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37.5%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21%3c%2fY%3e%0d%0a++++++++++++++++%3cInputCell%3e%0d%0a++++++++++++++++++%3cAddress%3e%3d'Sheet1'!%24E%2421%3c%2fAddress%3e%0d%0a++++++++++++++++++%3cListItemsAddress+%2f%3e%0d%0a++++++++++++++++++%3cType%3e0%3c%2fType%3e%0d%0a++++++++++++++++++%3cNameIndex%3e16%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15.740%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21%3c%2fY%3e%0d%0a++++++++++++++++%3cInputCell%3e%0d%0a++++++++++++++++++%3cAddress%3e%3d'Sheet1'!%24G%2421%3c%2fAddress%3e%0d%0a++++++++++++++++++%3cListItemsAddress+%2f%3e%0d%0a++++++++++++++++++%3cType%3e0%3c%2fType%3e%0d%0a++++++++++++++++++%3cNameIndex%3e17%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1.190%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21%3c%2fY%3e%0d%0a++++++++++++++++%3cInputCell%3e%0d%0a++++++++++++++++++%3cAddress%3e%3d'Sheet1'!%24I%2421%3c%2fAddress%3e%0d%0a++++++++++++++++++%3cListItemsAddress+%2f%3e%0d%0a++++++++++++++++++%3cType%3e0%3c%2fType%3e%0d%0a++++++++++++++++++%3cNameIndex%3e18%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17.040%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21%3c%2fY%3e%0d%0a++++++++++++++++%3cInputCell%3e%0d%0a++++++++++++++++++%3cAddress%3e%3d'Sheet1'!%24K%2421%3c%2fAddress%3e%0d%0a++++++++++++++++++%3cListItemsAddress+%2f%3e%0d%0a++++++++++++++++++%3cType%3e0%3c%2fType%3e%0d%0a++++++++++++++++++%3cNameIndex%3e19%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14.030%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21%3c%2fY%3e%0d%0a++++++++++++++++%3cInputCell%3e%0d%0a++++++++++++++++++%3cAddress%3e%3d'Sheet1'!%24M%2421%3c%2fAddress%3e%0d%0a++++++++++++++++++%3cListItemsAddress+%2f%3e%0d%0a++++++++++++++++++%3cType%3e0%3c%2fType%3e%0d%0a++++++++++++++++++%3cNameIndex%3e20%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4.850%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21%3c%2fY%3e%0d%0a++++++++++++++++%3cInputCell%3e%0d%0a++++++++++++++++++%3cAddress%3e%3d'Sheet1'!%24O%2421%3c%2fAddress%3e%0d%0a++++++++++++++++++%3cListItemsAddress+%2f%3e%0d%0a++++++++++++++++++%3cType%3e0%3c%2fType%3e%0d%0a++++++++++++++++++%3cNameIndex%3e21%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17.550%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22%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22%3c%2fY%3e%0d%0a++++++++++++++++%3cImages+%2f%3e%0d%0a++++++++++++++++%3cFormControls+%2f%3e%0d%0a++++++++++++++++%3cGrid+%2f%3e%0d%0a++++++++++++++++%3cExport+%2f%3e%0d%0a++++++++++++++%3c%2fTD%3e%0d%0a++++++++++++++%3cTD%3e%0d%0a+++</t>
  </si>
  <si>
    <t xml:space="preserve"> +++++++++++++%3cExport+%2f%3e%0d%0a++++++++++++++%3c%2fTD%3e%0d%0a++++++++++++++%3cTD%3e%0d%0a++++++++++++++++%3cPSCFormated%3efalse%3c%2fPSCFormated%3e%0d%0a++++++++++++++++%3cStyle%3eClass16%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19%3c%2fY%3e%0d%0a++++++++++++++++%3cInputCell%3e%0d%0a++++++++++++++++++%3cAddress%3e%3d'Sheet1'!%24M%2419%3c%2fAddress%3e%0d%0a++++++++++++++++++%3cListItemsAddress+%2f%3e%0d%0a++++++++++++++++++%3cType%3e0%3c%2fType%3e%0d%0a++++++++++++++++++%3cNameIndex%3e13%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0.149%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16%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19%3c%2fY%3e%0d%0a++++++++++++++++%3cInputCell%3e%0d%0a++++++++++++++++++%3cAddress%3e%3d'Sheet1'!%24O%2419%3c%2fAddress%3e%0d%0a++++++++++++++++++%3cListItemsAddress+%2f%3e%0d%0a++++++++++++++++++%3cType%3e0%3c%2fType%3e%0d%0a++++++++++++++++++%3cNameIndex%3e14%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0.329%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20%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Yx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45.75%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21%3c%2fY%3e%0d%0a++++++++++++++++%3cInputCell%3e%0d%0a++++++++++++++++++%3cAddress%3e%3d'Sheet1'!%24C%2421%3c%2fAddress%3e%0d%0a++++++++++++++++++%3cListItemsAddress+%2f%3e%0d%0a++++++++++++++++++%3cType%3e0%3c%2fType%3e%0d%0a++++++++++++++++++%3cNameIndex%3e15%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3.760%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</t>
  </si>
  <si>
    <t xml:space="preserve"> 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18%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y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45.75%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19%3c%2fY%3e%0d%0a++++++++++++++++%3cInputCell%3e%0d%0a++++++++++++++++++%3cAddress%3e%3d'Sheet1'!%24C%2419%3c%2fAddress%3e%0d%0a++++++++++++++++++%3cListItemsAddress+%2f%3e%0d%0a++++++++++++++++++%3cType%3e0%3c%2fType%3e%0d%0a++++++++++++++++++%3cNameIndex%3e8%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0.309%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37.5%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19%3c%2fY%3e%0d%0a++++++++++++++++%3cInputCell%3e%0d%0a++++++++++++++++++%3cAddress%3e%3d'Sheet1'!%24E%2419%3c%2fAddress%3e%0d%0a++++++++++++++++++%3cListItemsAddress+%2f%3e%0d%0a++++++++++++++++++%3cType%3e0%3c%2fType%3e%0d%0a++++++++++++++++++%3cNameIndex%3e9%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0.680%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19%3c%2fY%3e%0d%0a++++++++++++++++%3cInputCell%3e%0d%0a++++++++++++++++++%3cAddress%3e%3d'Sheet1'!%24G%2419%3c%2fAddress%3e%0d%0a++++++++++++++++++%3cListItemsAddress+%2f%3e%0d%0a++++++++++++++++++%3cType%3e0%3c%2fType%3e%0d%0a++++++++++++++++++%3cNameIndex%3e10%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0.051%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19%3c%2fY%3e%0d%0a++++++++++++++++%3cInputCell%3e%0d%0a++++++++++++++++++%3cAddress%3e%3d'Sheet1'!%24I%2419%3c%2fAddress%3e%0d%0a++++++++++++++++++%3cListItemsAddress+%2f%3e%0d%0a++++++++++++++++++%3cType%3e0%3c%2fType%3e%0d%0a++++++++++++++++++%3cNameIndex%3e11%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0.516%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19%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19%3c%2fY%3e%0d%0a++++++++++++++++%3cInputCell%3e%0d%0a++++++++++++++++++%3cAddress%3e%3d'Sheet1'!%24K%2419%3c%2fAddress%3e%0d%0a++++++++++++++++++%3cListItemsAddress+%2f%3e%0d%0a++++++++++++++++++%3cType%3e0%3c%2fType%3e%0d%0a++++++++++++++++++%3cNameIndex%3e12%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0.330%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</t>
  </si>
  <si>
    <t xml:space="preserve"> 3e%0d%0a++++++++++++++++%3cX%3e1%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x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45.75%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17%3c%2fY%3e%0d%0a++++++++++++++++%3cInputCell%3e%0d%0a++++++++++++++++++%3cAddress%3e%3d'Sheet1'!%24C%2417%3c%2fAddress%3e%0d%0a++++++++++++++++++%3cListItemsAddress+%2f%3e%0d%0a++++++++++++++++++%3cType%3e0%3c%2fType%3e%0d%0a++++++++++++++++++%3cNameIndex%3e1%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0.679%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37.5%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17%3c%2fY%3e%0d%0a++++++++++++++++%3cInputCell%3e%0d%0a++++++++++++++++++%3cAddress%3e%3d'Sheet1'!%24E%2417%3c%2fAddress%3e%0d%0a++++++++++++++++++%3cListItemsAddress+%2f%3e%0d%0a++++++++++++++++++%3cType%3e0%3c%2fType%3e%0d%0a++++++++++++++++++%3cNameIndex%3e2%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0.292%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17%3c%2fY%3e%0d%0a++++++++++++++++%3cInputCell%3e%0d%0a++++++++++++++++++%3cAddress%3e%3d'Sheet1'!%24G%2417%3c%2fAddress%3e%0d%0a++++++++++++++++++%3cListItemsAddress+%2f%3e%0d%0a++++++++++++++++++%3cType%3e0%3c%2fType%3e%0d%0a++++++++++++++++++%3cNameIndex%3e3%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0.163%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17%3c%2fY%3e%0d%0a++++++++++++++++%3cInputCell%3e%0d%0a++++++++++++++++++%3cAddress%3e%3d'Sheet1'!%24I%2417%3c%2fAddress%3e%0d%0a++++++++++++++++++%3cListItemsAddress+%2f%3e%0d%0a++++++++++++++++++%3cType%3e0%3c%2fType%3e%0d%0a++++++++++++++++++%3cNameIndex%3e4%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0.416%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17%3c%2fY%3e%0d%0a++++++++++++++++%3cInputCell%3e%0d%0a++++++++++++++++++%3cAddress%3e%3d'Sheet1'!%24K%2417%3c%2fAddress%3e%0d%0a++++++++++++++++++%3cListItemsAddress+%2f%3e%0d%0a++++++++++++++++++%3cType%3e0%3c%2fType%3e%0d%0a++++++++++++++++++%3cNameIndex%3e5%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0.223%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17%3c%2fY%3e%0d%0a++++++++++++++++%3cInputCell%3e%0d%0a++++++++++++++++++%3cAddress%3e%3d'Sheet1'!%24M%2417%3c%2fAddress%3e%0d%0a++++++++++++++++++%3cListItemsAddress+%2f%3e%0d%0a++++++++++++++++++%3cType%3e0%3c%2fType%3e%0d%0a++++++++++++++++++%3cNameIndex%3e6%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0.316%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15%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17%3c%2fY%3e%0d%0a++++++++++++++++%3cInputCell%3e%0d%0a++++++++++++++++++%3cAddress%3e%3d'Sheet1'!%24O%2417%3c%2fAddress%3e%0d%0a++++++++++++++++++%3cListItemsAddress+%2f%3e%0d%0a++++++++++++++++++%3cType%3e0%3c%2fType%3e%0d%0a++++++++++++++++++%3cNameIndex%3e7%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Text+Box%3c%2fTypeName%3e%0d%0a++++++++++++++++++%3cDefaultValue%3e0.311%3c%2fDefaultValue%3e%0d%0a++++++++++++++++++%3cValueType%3eSystem.Double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17%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18%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</t>
  </si>
  <si>
    <t xml:space="preserve"> 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8%3c%2fStyle%3e%0d%0a++++++++++++++++%3cMerge%3eTrue%3c%2fMerge%3e%0d%0a++++++++++++++++%3cRowSpan+%2f%3e%0d%0a++++++++++++++++%3cColSpan%3e2%3c%2fColSpan%3e%0d%0a++++++++++++++++%3cFormat%3eGeneral%3c%2fFormat%3e%0d%0a++++++++++++++++%3cWidth%3e92.25%3c%2fWidth%3e%0d%0a++++++++++++++++%3cText%3eMeasured+Gamut%3c%2fText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8%3c%2fStyle%3e%0d%0a++++++++++++++++%3cMerge%3eTrue%3c%2fMerge%3e%0d%0a++++++++++++++++%3cRowSpan+%2f%3e%0d%0a++++++++++++++++%3cColSpan%3e3%3c%2fColSpan%3e%0d%0a++++++++++++++++%3cFormat%3eGeneral%3c%2fFormat%3e%0d%0a++++++++++++++++%3cWidth%3e118.5%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%3eRed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%3eGreen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%3eBlue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%3eYellow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40.5%3c%2fWidth%3e%0d%0a++++++++++++++++%3cText%3eCyan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%3eMagenta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%3eWhite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</t>
  </si>
  <si>
    <t xml:space="preserve"> ize%3e10%3c%2fFontSize%3e%0d%0a++++++++++++++++%3cX%3e6%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15%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15%3c%2fY%3e</t>
  </si>
  <si>
    <t xml:space="preserve"> ame%3e%0d%0a++++++++++++++++%3cWrapText%3eFalse%3c%2fWrapText%3e%0d%0a++++++++++++++++%3cFontSize%3e10%3c%2fFontSize%3e%0d%0a++++++++++++++++%3cX%3e10%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M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46.5%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4%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W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46.5%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4%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13%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</t>
  </si>
  <si>
    <t xml:space="preserve"> 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9%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Y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46.5%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4%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10%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10%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C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46.5%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4%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11%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</t>
  </si>
  <si>
    <t xml:space="preserve"> 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G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46.5%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4%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8%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8%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B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46.5%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4%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9%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</t>
  </si>
  <si>
    <t xml:space="preserve"> %3cMerge%3eFalse%3c%2fMerge%3e%0d%0a++++++++++++++++%3cRowSpan+%2f%3e%0d%0a++++++++++++++++%3cColSpan+%2f%3e%0d%0a++++++++++++++++%3cFormat%3eGeneral%3c%2fFormat%3e%0d%0a++++++++++++++++%3cWidth%3e37.5%3c%2fWidth%3e%0d%0a++++++++++++++++%3cText%3eY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12%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%3e2%3c%2fText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6%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13%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%3eR%3c%2fText%3e%0d%0a++++++++++++++++%3cHeight%3e12.75%3c%2fHeight%3e%0d%0a++++++++++++++++%3cAlign%3eRigh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45.75%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3%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46.5%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4%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14%3c%2fStyle%3e%0d%0a++++++++++++++++%3cMerge%3eFalse%3c%2fMerge%3e%0d%0a++++++++++++++++%3cRowSpan+%2f%3e%0d%0a++++++++++++++++%3cColSpan+%2f%3e%0d%0a++++++++++++++++%3cFormat%3e0.0000%3c%2fFormat%3e%0d%0a++++++++++++++++%3cWidth%3e37.5%3c%2fWidth%3e%0d%0a++++++++++++++++%3cText+%2f%3e%0d%0a++++++++++++++++%3cHeight%3e12.75%3c%2fHeight%3e%0d%0a++++++++++++++++%3cAlign%3eRight%3c%2fAlign%3e%0d%0a++++++++++++++++%3cVerticalAlign+%2f%3e%0d%0a++++++++++++++++%3cCellHasFormula%3eTrue%3c%2fCellHasFormula%3e%0d%0a++++++++++++++++%3cFontName%3eArial%3c%2fFontName%3e%0d%0a++++++++++++++++%3cWrapText%3eFalse%3c%2fWrapText%3e%0d%0a++++++++++++++++%3cFontSize%3e10%3c%2fFontSize%3e%0d%0a++++++++++++++++%3cX%3e5%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7%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7%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</t>
  </si>
  <si>
    <t xml:space="preserve"> 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4%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5%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5%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%3ex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%3ey%3c%2fText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6%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11%3c%2fStyle%3e%0d%0a++++++++++++++++</t>
  </si>
  <si>
    <t xml:space="preserve"> 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2%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8%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%3eGamut%3c%2fText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8%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3%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38.25%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3%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9%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4%3c%2fY%3e%0d%0a++++++++++++++++%3cInputCell%3e%0d%0a++++++++++++++++++%3cAddress%3e%3d'Sheet1'!%24A%244%3c%2fAddress%3e%0d%0a++++++++++++++++++%3cListItemsAddress%3e%3d'Sheet1'!%24AO%244%3a%24AO%247%3c%2fListItemsAddress%3e%0d%0a++++++++++++++++++%3cType%3e1%3c%2fType%3e%0d%0a++++++++++++++++++%3cNameIndex%3e0%3c%2fNameIndex%3e%0d%0a++++++++++++++++++%3cIsHidingEnabled%3efalse%3c%2fIsHidingEnabled%3e%0d%0a++++++++++++++++++%3cIsDisablingEnabled%3efalse%3c%2fIsDisablingEnabled%3e%0d%0a++++++++++++++++++%3cRequiresValidation%3efalse%3c%2fRequiresValidation%3e%0d%0a++++++++++++++++++%3cIsRequired%3efalse%3c%2fIsRequired%3e%0d%0a++++++++++++++++++%3cTypeName%3eCombo+Box%3c%2fTypeName%3e%0d%0a++++++++++++++++++%3cDefaultValue%3eSMPTE-C%3c%2fDefaultValue%3e%0d%0a++++++++++++++++++%3cValueType%3eSystem.String%3c%2fValueType%3e%0d%0a++++++++++++++++++%3cGroupSizes%3e0%3c%2fGroupSizes%3e%0d%0a++++++++++++++++++%3cGroupSeparator+%2f%3e%0d%0a++++++++++++++++++%3cDecimalDigits%3e0%3c%2fDecimalDigits%3e%0d%0a++++++++++++++++++%3cDecimalSeparator+%2f%3e%0d%0a++++++++++++++++++%3cNegativePattern+%2f%3e%0d%0a++++++++++++++++++%3cPositivePattern+%2f%3e%0d%0a++++++++++++++++++%3cAllowRounding%3efalse%3c%2fAllowRounding%3e%0d%0a++++++++++++++++++%3cTextFormat%3eNumber%3c%2fTextFormat%3e%0d%0a++++++++++++++++++%3cListValues+%2f%3e%0d%0a++++++++++++++++++%3cIsControlEnabled%3efalse%3c%2fIsControlEnabled%3e%0d%0a++++++++++++++++++%3cIsControlVisible%3efalse%3c%2fIsControlVisible%3e%0d%0a++++++++++++++++%3c%2fInputCell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10%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4%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4%3c%2fY%3e%0d%0a++++++++++++++++%3cImages+%2f%3e%0d%0a++++++++++++++++%3cFormControls+%2f%3e%0d%0a++++++++++++++++%3cGrid+%2f%3e%0d%0a++++++++++++++++%3cExport+%2f%3e%0d%0a++++++++++++++%3c%2fTD%3e%0d%0a++++++++++++++%3cTD%3e%0d%0a++++++</t>
  </si>
  <si>
    <t xml:space="preserve"> %2fIsDisablingEnabled%3e%0d%0a++++++++++++%3cRequiresValidation%3efalse%3c%2fRequiresValidation%3e%0d%0a++++++++++++%3cIsRequired%3efalse%3c%2fIsRequired%3e%0d%0a++++++++++++%3cTypeName%3eText+Box%3c%2fTypeName%3e%0d%0a++++++++++++%3cDefaultValue%3e17.550%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%3c%2fCells%3e%0d%0a++++++%3c%2fInputCells%3e%0d%0a++++%3c%2fInputCellsCollection%3e%0d%0a++%3c%2fPageInputCells%3e%0d%0a++%3cPageLayouts%3e%0d%0a++++%3cIsTabsVisible%3etrue%3c%2fIsTabsVisible%3e%0d%0a++++%3cPageLayoutCollection%3e%0d%0a++++++%3cPageLayout%3e%0d%0a++++++++%3cAlignment%3eCenter%3c%2fAlignment%3e%0d%0a++++++++%3cAutoResponseEmail%3eFalse%3c%2fAutoResponseEmail%3e%0d%0a++++++++%3cBorder%3etrue%3c%2fBorder%3e%0d%0a++++++++%3cCellAlignment%3etrue%3c%2fCellAlignment%3e%0d%0a++++++++%3cChangeRecordStatus%3efalse%3c%2fChangeRecordStatus%3e%0d%0a++++++++%3cCharts%3efalse%3c%2fCharts%3e%0d%0a++++++++%3cColor%3etrue%3c%2fColor%3e%0d%0a++++++++%3cControls%3e%0d%0a++++++++++%3cPageControl%3e%0d%0a++++++++++++%3cEnabled%3etrue%3c%2fEnabled%3e%0d%0a++++++++++++%3cType%3eCalculate%3c%2fType%3e%0d%0a++++++++++++%3cOrder%3e0%3c%2fOrder%3e%0d%0a++++++++++++%3cCellLink%3e%3d'Sheet1'!%24A%2433%3c%2fCellLink%3e%0d%0a++++++++++++%3cName%3eCalculate%3c%2fName%3e%0d%0a++++++++++%3c%2fPageControl%3e%0d%0a++++++++++%3cPageControl%3e%0d%0a++++++++++++%3cEnabled%3efalse%3c%2fEnabled%3e%0d%0a++++++++++++%3cType%3eReset%3c%2fType%3e%0d%0a++++++++++++%3cOrder%3e1%3c%2fOrder%3e%0d%0a++++++++++++%3cCellLink%3eDEFAULT%3c%2fCellLink%3e%0d%0a++++++++++++%3cName%3eReset%3c%2fName%3e%0d%0a++++++++++%3c%2fPageControl%3e%0d%0a++++++++++%3cPageControl%3e%0d%0a++++++++++++%3cEnabled%3efalse%3c%2fEnabled%3e%0d%0a++++++++++++%3cType%3eSave%3c%2fType%3e%0d%0a++++++++++++%3cOrder%3e2%3c%2fOrder%3e%0d%0a++++++++++++%3cCellLink%3eDEFAULT%3c%2fCellLink%3e%0d%0a++++++++++++%3cName%3eSave%3c%2fName%3e%0d%0a++++++++++%3c%2fPageControl%3e%0d%0a++++++++++%3cPageControl%3e%0d%0a++++++++++++%3cEnabled%3efalse%3c%2fEnabled%3e%0d%0a++++++++++++%3cType%3eBack%3c%2fType%3e%0d%0a++++++++++++%3cOrder%3e3%3c%2fOrder%3e%0d%0a++++++++++++%3cCellLink%3eDEFAULT%3c%2fCellLink%3e%0d%0a++++++++++++%3cName%3eBack%3c%2fName%3e%0d%0a++++++++++%3c%2fPageControl%3e%0d%0a++++++++++%3cPageControl%3e%0d%0a++++++++++++%3cEnabled%3efalse%3c%2fEnabled%3e%0d%0a++++++++++++%3cType%3eNext%3c%2fType%3e%0d%0a++++++++++++%3cOrder%3e4%3c%2fOrder%3e%0d%0a++++++++++++%3cCellLink%3eDEFAULT%3c%2fCellLink%3e%0d%0a++++++++++++%3cName%3eNext%3c%2fName%3e%0d%0a++++++++++%3c%2fPageControl%3e%0d%0a++++++++++%3cPageControl%3e%0d%0a++++++++++++%3cEnabled%3efalse%3c%2fEnabled%3e%0d%0a++++++++++++%3cType%3eExport%3c%2fType%3e%0d%0a++++++++++++%3cOrder%3e5%3c%2fOrder%3e%0d%0a++++++++++++%3cCellLink%3eDEFAULT%3c%2fCellLink%3e%0d%0a++++++++++++%3cName%3eExport%3c%2fName%3e%0d%0a++++++++++%3c%2fPageControl%3e%0d%0a++++++++++%3cPageControl%3e%0d%0a++++++++++++%3cEnabled%3efalse%3c%2fEnabled%3e%0d%0a++++++++++++%3cType%3eCustom%3c%2fType%3e%0d%0a++++++++++++%3cOrder%3e6%3c%2fOrder%3e%0d%0a++++++++++++%3cCellLink%3eDEFAULT%3c%2fCellLink%3e%0d%0a++++++++++++%3cName%3eCustom%3c%2fName%3e%0d%0a++++++++++%3c%2fPageControl%3e%0d%0a++++++++%3c%2fControls%3e%0d%0a++++++++%3cCustomButtonActions%3e%0d%0a++++++++++%3cCalculate%3efalse%3c%2fCalculate%3e%0d%0a++++++++++%3cReset%3efalse%3c%2fReset%3e%0d%0a++++++++++%3cSave%3efalse%3c%2fSave%3e%0d%0a++++++++++%3cExport%3efalse%3c%2fExport%3e%0d%0a++++++++++%3cIsPageForwardingChecked%3efalse%3c%2fIsPageForwardingChecked%3e%0d%0a++++++++++%3cIsExternalURLChecked%3efalse%3c%2fIsExternalURLChecked%3e%0d%0a++++++++++%3cIsCustomPageChecked%3efalse%3c%2fIsCustomPageChecked%3e%0d%0a++++++++++%3cIsDisableByCellValueChecked%3efalse%3c%2fIsDisableByCellValueChecked%3e%0d%0a++++++++++%3cIsCustomButtonEnabled%3efalse%3c%2fIsCustomButtonEnabled%3e%0d%0a++++++++++%3cIsAutoResponseMailChecked%3efalse%3c%2fIsAutoResponseMailChecked%3e%0d%0a++++++++++%3cIsNotificationEmailChecked%3efalse%3c%2fIsNotificationEmailChecked%3e%0d%0a++++++++++%3cIsChangeRecordStatusChecked%3efalse%3c%2fIsChangeRecordStatusChecked%3e%0d%0a++++++++++%3cIsTransferRecordOwnershipChecked%3efalse%3c%2fIsTransferRecordOwnershipChecked%3e%0d%0a++++++++++%3cIsPrintEnabled%3efalse%3c%2fIsPrintEnabled%3e%0d%0a++++++++%3c%2fCustomButtonActions%3e%0d%0a++++++++%3cDisplayRange%3e%3d'Sheet1'!%24A%241%3a%24Q%2433%3c%2fDisplayRange%3e%0d%0a++++++++%3cFileName%3e1.+Sheet1%3c%2fFileName%3e%0d%0a++++++++%3cFont%3etrue%3c%2fFont%3e%0d%0a++++++++%3cFormControls%3efalse%3c%2fFormControls%3e%0d%0a++++++++%3cImages%3efalse%3c%2fImages%3e%0d%0a++++++++%3cIndex%3e0%3c%2fIndex%3e%0d%0a++++++++%3cIsAjaxEnabled%3efalse%3c%2fIsAjaxEnabled%3e%0d%0a++++++++%3cIsSaveButtonEnabled%3efalse%3c%2fIsSaveButtonEnabled%3e%0d%0a++++++++%3cIsSaveButtonEnabledByCellValue%3efalse%3c%2fIsSaveButtonEnabledByCellValue%3e%0d%0a++++++++%3cIsPageHidingEnabled%3efalse%3c%2fIsPageHidingEnabled%3e%0d%0a++++++++%3cIsPageVisible%3etrue%3c%2fIsPageVisible%3e%0d%0a++++++++%3cPageVisibilityControllerRange+%2f%3e%0d%0a++++++++%3cLocation%3eBottom%3c%2fLocation%3e%0d%0a++++++++%3cNotificationEmail%3eFalse%3c%2fNotificationEmail%3e%0d%0a++++++++%3cNotificationEmailBodyFormula+%2f%3e%0d%0a++++++++%3cNotificationEmailSubjectFormula+%2f%3e%0d%0a++++++++%3cNotificationEmailRecepientEmailFormula+%2f%3e%0d%0a++++++++%3cOrder%3e0%3c%2fOrder%3e%0d%0a++++++++%3cPageForwarding%3eFalse%3c%2fPageForwarding%3e%0d%0a++++++++%3cPageForwardingCustomPage%3eFalse%3c%2fPageForwardingCustomPage%3e%0d%0a++++++++%3cPageForwardingIsExternalURL%3eFalse%3c%2fPageForwardingIsExternalURL%3e%0d%0a++++++++%3cPageForwardingExternalURL%3eNone%3c%2fPageForwardingExternalURL%3e%0d%0a++++++++%3cPivots%3efalse%3c%2fPivots%3e%0d%0a++++++++%3cRecordStatusValue+%2f%3e%0d%0a++++++++%3cTransferRecordOwnership%3efalse%3c%2fTransferRecordOwnership%3e%0d%0a++++++++%3cTransferRecordOwnershipValue+%2f%3e%0d%0a++++++%3c%2fPageLayout%3e%0d%0a++++%3c%2fPageLayoutCollection%3e%0d%0a++++%3cInitialPageIndex%3e0%3c%2fInitialPageIndex%3e%0d%0a++++%3cApplicationName%3edEWeb%3c%2fApplicationName%3e%0d%0a++%3c%2fPageLayouts%3e%0d%0a++%3cSavingCells%3e%0d%0a++++%3cCellCount%3e0%3c%2fCellCount%3e%0d%0a++%3c%2fSavingCells%3e%0d%0a++%3cTables%3e%0d%0a++++%3cTableCollection%3e%0d%0a++++++%3cTable%3e%0d%0a++++++++%3cAddress%3e%3d'Sheet1'!%24A%241%3a%24Q%2433%3c%2fAddress%3e%0d%0a++++++++%3cName%3ePSWOutput_0%3c%2fName%3e%0d%0a++++++++%3cColumnWidths%3e66.75-63.75-45.75-46.5-37.5-36.75-39.75-39-39.75-39-40.5-39-36.75-36.75-39.75-38.25-38.25%3c%2fColumnWidths%3e%0d%0a++++++++%3cRowCount%3e33%3c%2fRowCount%3e%0d%0a++++++++%3cWidth%3e723.75%3c%2fWidth%3e%0d%0a++++++++%3cInputItemCount%3e22%3c%2fInputItemCount%3e%0d%0a++++++++%3cTRs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6%3c%2fStyle%3e%0d%0a++++++++++++++++%3cMerge%3eTrue%3c%2fMerge%3e%0d%0a++++++++++++++++%3cRowSpan+%2f%3e%0d%0a++++++++++++++++%3cColSpan%3e8%3c%2fColSpan%3e%0d%0a++++++++++++++++%3cFormat%3eGeneral%3c%2fFormat%3e%0d%0a++++++++++++++++%3cWidth%3e318.75%3c%2fWidth%3e%0d%0a++++++++++++++++%3cText%3e%ce%94E%2c+LSH%2c+and+RGB+Color+Analysis%3c%2fText%3e%0d%0a++++++++++++++++%3cHeight%3e18%3c%2fHeight%3e%0d%0a++++++++++++++++%3cAlign%3eCenter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14%3c%2fFontSize%3e%0d%0a++++++++++++++++%3cX%3e4%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14%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15%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16%3c%2fX%3e%0d%0a++++++++++++++++%3cY%3e1%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38.25%3c%2fWidth%3e%0d%0a++++++++++++++++%3cText+%2f%3e%0d%0a++++++++++++++++%3cHeight%3e18%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17%3c%2fX%3e%0d%0a++++++++++++++++%3cY%3e1%3c%2fY%3e%0d%0a++++++++++++++++%3cImages+%2f%3e%0d%0a++++++++++++++++%3cFormControls+%2f%3e%0d%0a++++++++++++++++%3cGrid+%2f%3e%0d%0a++++++++++++++++%3cExport+%2f%3e%0d%0a++++++++++++++%3c%2fTD%3e%0d%0a++++++++++++%3c%2fTDs%3e%0d%0a++++++++++++%3cIsRowVisible%3etrue%3c%2fIsRowVisible%3e%0d%0a++++++++++%3c%2fTR%3e%0d%0a++++++++++%3cTR%3e%0d%0a++++++++++++%3cTDs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63.75%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2%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45.75%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3%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46.5%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4%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37.5%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5%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6%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5%3c%2fStyle%3e%0d%0a++++++++++++++++%3cMerge%3eFalse%3c%2fMerge%3e%0d%0a++++++++++++++++%3cRowSpan+%2f%3e%0d%0a++++++++++++++++%3cColSpan+%2f%3e%0d%0a++++++++++++++++%3cFormat%3eGeneral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7%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8%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9%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10%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40.5%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11%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39%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12%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+++++++++%3cWidth%3e36.75%3c%2fWidth%3e%0d%0a++++++++++++++++%3cText+%2f%3e%0d%0a++++++++++++++++%3cHeight%3e12.75%3c%2fHeight%3e%0d%0a++++++++++++++++%3cAlign%3eLeft%3c%2fAlign%3e%0d%0a++++++++++++++++%3cVerticalAlign+%2f%3e%0d%0a++++++++++++++++%3cCellHasFormula%3eFalse%3c%2fCellHasFormula%3e%0d%0a++++++++++++++++%3cFontName%3eArial%3c%2fFontName%3e%0d%0a++++++++++++++++%3cWrapText%3eFalse%3c%2fWrapText%3e%0d%0a++++++++++++++++%3cFontSize%3e10%3c%2fFontSize%3e%0d%0a++++++++++++++++%3cX%3e13%3c%2fX%3e%0d%0a++++++++++++++++%3cY%3e2%3c%2fY%3e%0d%0a++++++++++++++++%3cImages+%2f%3e%0d%0a++++++++++++++++%3cFormControls+%2f%3e%0d%0a++++++++++++++++%3cGrid+%2f%3e%0d%0a++++++++++++++++%3cExport+%2f%3e%0d%0a++++++++++++++%3c%2fTD%3e%0d%0a++++++++++++++%3cTD%3e%0d%0a++++++++++++++++%3cPSCFormated%3efalse%3c%2fPSCFormated%3e%0d%0a++++++++++++++++%3cStyle%3eClass7%3c%2fStyle%3e%0d%0a++++++++++++++++%3cMerge%3eFalse%3c%2fMerge%3e%0d%0a++++++++++++++++%3cRowSpan+%2f%3e%0d%0a++++++++++++++++%3cColSpan+%2f%3e%0d%0a++++++++++++++++%3cFormat%3e0.000%3c%2fFormat%3e%0d%0a+++++++</t>
  </si>
  <si>
    <t xml:space="preserve"> %3c%3fxml+version%3d%221.0%22+encoding%3d%22utf-16%22%3f%3e%0d%0a%3cWizardSettings+xmlns%3axsi%3d%22http%3a%2f%2fwww.w3.org%2f2001%2fXMLSchema-instance%22+xmlns%3axsd%3d%22http%3a%2f%2fwww.w3.org%2f2001%2fXMLSchema%22%3e%0d%0a++%3cCss%3e%0a.Class5%7bfont-family%3a+Arial%3b+font-size%3a10pt%3b+color%3aBlack%3btext-decoration%3anone%3bborder%3a+0.5pt++None++Black+%3bbackground-color%3aSilver%3b+text-align%3aleft%3bvertical-align%3abottom%3b%7d%0a.Class6%7bfont-family%3a+Arial%3b+font-size%3a14pt%3b+color%3a%23993300%3bfont-weight%3a+bold%3btext-decoration%3anone%3bborder%3a+0.5pt++None++Black+%3bbackground-color%3aSilver%3b+text-align%3acenter%3bvertical-align%3abottom%3b%7d%0a.Class7%7bfont-family%3a+Arial%3b+font-size%3a10pt%3b+color%3aRed%3bfont-weight%3a+bold%3btext-decoration%3anone%3bborder%3a+0.5pt++None++Black+%3bbackground-color%3aSilver%3b+text-align%3aleft%3bvertical-align%3abottom%3b%7d%0a.Class8%7bfont-family%3a+Arial%3b+font-size%3a10pt%3b+color%3aBlack%3bfont-weight%3a+bold%3btext-decoration%3anone%3bborder%3a+0.5pt++None++Black+%3bbackground-color%3aSilver%3b+text-align%3aleft%3bvertical-align%3abottom%3b%7d%0a.Class9%7bfont-family%3a+Arial%3b+font-size%3a10pt%3b+color%3aBlack%3btext-decoration%3anone%3bborder%3a+0.5pt++None++Black+%3bbackground-color%3aWhite%3b+text-align%3aleft%3bvertical-align%3abottom%3b%7d%0a.Class10%7bfont-family%3a+Arial%3b+font-size%3a10pt%3b+color%3aBlack%3btext-decoration%3anone%3bborder%3a+0.5pt++None++Black+%3bbackground-color%3aSilver%3b+text-align%3acenter%3bvertical-align%3abottom%3b%7d%0a.Class11%7bfont-family%3a+Arial%3b+font-size%3a10pt%3b+color%3aBlack%3bfont-weight%3a+bold%3btext-decoration%3anone%3bborder%3a+0.5pt++None++Black+%3bbackground-color%3aSilver%3b+text-align%3acenter%3bvertical-align%3abottom%3b%7d%0a.Class12%7bfont-family%3a+Arial%3b+font-size%3a10pt%3b+color%3aSilver%3btext-decoration%3anone%3bborder%3a+0.5pt++None++Black+%3bbackground-color%3aSilver%3b+text-align%3aright%3bvertical-align%3abottom%3b%7d%0a.Class13%7bfont-family%3a+Arial%3b+font-size%3a10pt%3b+color%3aBlack%3bfont-weight%3a+bold%3btext-decoration%3anone%3bborder%3a+0.5pt++None++Black+%3bbackground-color%3aSilver%3b+text-align%3aright%3bvertical-align%3abottom%3b%7d%0a.Class14%7bfont-family%3a+Arial%3b+font-size%3a10pt%3b+color%3aBlack%3btext-decoration%3anone%3bborder%3a+0.5pt++None++Black+%3bbackground-color%3aSilver%3b+text-align%3aright%3bvertical-align%3abottom%3b%7d%0a.Class15%7bfont-family%3a+Arial%3b+font-size%3a10pt%3b+color%3aRed%3bfont-weight%3a+bold%3btext-decoration%3anone%3bborder%3a+0.5pt++None++Black+%3bbackground-color%3aWhite%3b+text-align%3acenter%3bvertical-align%3abottom%3b%7d%0a.Class16%7bfont-family%3a+Arial%3b+font-size%3a10pt%3b+color%3aRed%3bfont-weight%3a+bold%3btext-decoration%3anone%3bborder%3a+0.5pt++None++Black+%3bbackground-color%3aSilver%3b+text-align%3acenter%3bvertical-align%3abottom%3b%7d%0a.Class17%7bfont-family%3a+Arial%3b+font-size%3a10pt%3b+color%3aBlack%3btext-decoration%3anone%3bborder-bottom-style%3a+Solid+%3bborder-width%3a+0.5pt+%3bborder-color%3a+Black+%3bbackground-color%3aSilver%3b+text-align%3aleft%3bvertical-align%3abottom%3b%7d%0a.Class18%7bfont-family%3a+Arial%3b+font-size%3a10pt%3b+color%3aBlack%3btext-decoration%3anone%3bborder-top-style%3a+Solid+%3bborder-width%3a+0.5pt+%3bborder-color%3a+Black+%3bbackground-color%3aSilver%3b+text-align%3aleft%3bvertical-align%3abottom%3b%7d%0a.Class19%7bfont-family%3a+Arial%3b+font-size%3a10pt%3b+color%3aBlack%3bfont-weight%3a+bold%3btext-decoration%3anone%3bborder-top-style%3a+Solid+%3bborder-width%3a+0.5pt+%3bborder-color%3a+Black+%3bbackground-color%3aSilver%3b+text-align%3aright%3bvertical-align%3abottom%3b%7d%0a.Class20%7bfont-family%3a+Arial%3b+font-size%3a10pt%3b+color%3aBlack%3btext-decoration%3anone%3bborder-top-style%3a+Solid+%3bborder-width%3a+0.5pt+%3bborder-color%3a+Black+%3bbackground-color%3aSilver%3b+text-align%3aright%3bvertical-align%3abottom%3b%7d%0a.Class21%7bfont-family%3a+Arial%3b+font-size%3a10pt%3b+color%3aGreen%3bfont-weight%3a+bold%3btext-decoration%3anone%3bborder-top-style%3a+Solid+%3bborder-width%3a+0.5pt+%3bborder-color%3a+Black+%3bbackground-color%3aSilver%3b+text-align%3aleft%3bvertical-align%3abottom%3b%7d%0a.Class22%7bfont-family%3a+Arial%3b+font-size%3a10pt%3b+color%3aGreen%3bfont-weight%3a+bold%3btext-decoration%3anone%3bborder%3a+0.5pt++None++Black+%3bbackground-color%3aSilver%3b+text-align%3aleft%3bvertical-align%3abottom%3b%7d%3c%2fCss%3e%0d%0a++%3cCulture%3een-US%3c%2fCulture%3e%0d%0a++%3cMergedSavingCells+%2f%3e%0d%0a++%3cPageInputCells%3e%0d%0a++++%3cInputCellsCollection%3e%0d%0a++++++%3cInputCells%3e%0d%0a++++++++%3cCellCount%3e22%3c%2fCellCount%3e%0d%0a++++++++%3cCells%3e%0d%0a++++++++++%3cInputCell%3e%0d%0a++++++++++++%3cAddress%3e%3d'Sheet1'!%24A%244%3c%2fAddress%3e%0d%0a++++++++++++%3cListItemsAddress%3e%3d'Sheet1'!%24AO%244%3a%24AO%247%3c%2fListItemsAddress%3e%0d%0a++++++++++++%3cType%3e1%3c%2fType%3e%0d%0a++++++++++++%3cNameIndex%3e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Combo+Box%3c%2fTypeName%3e%0d%0a++++++++++++%3cDefaultValue%3eSMPTE-C%3c%2fDefaultValue%3e%0d%0a++++++++++++%3cValueType%3eSystem.String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C%2417%3c%2fAddress%3e%0d%0a++++++++++++%3cListItemsAddress+%2f%3e%0d%0a++++++++++++%3cType%3e0%3c%2fType%3e%0d%0a++++++++++++%3cNameIndex%3e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0.679%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E%2417%3c%2fAddress%3e%0d%0a++++++++++++%3cListItemsAddress+%2f%3e%0d%0a++++++++++++%3cType%3e0%3c%2fType%3e%0d%0a++++++++++++%3cNameIndex%3e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0.292%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G%2417%3c%2fAddress%3e%0d%0a++++++++++++%3cListItemsAddress+%2f%3e%0d%0a++++++++++++%3cType%3e0%3c%2fType%3e%0d%0a++++++++++++%3cNameIndex%3e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0.163%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I%2417%3c%2fAddress%3e%0d%0a++++++++++++%3cListItemsAddress+%2f%3e%0d%0a++++++++++++%3cType%3e0%3c%2fType%3e%0d%0a++++++++++++%3cNameIndex%3e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0.416%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K%2417%3c%2fAddress%3e%0d%0a++++++++++++%3cListItemsAddress+%2f%3e%0d%0a++++++++++++%3cType%3e0%3c%2fType%3e%0d%0a++++++++++++%3cNameIndex%3e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0.223%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M%2417%3c%2fAddress%3e%0d%0a++++++++++++%3cListItemsAddress+%2f%3e%0d%0a++++++++++++%3cType%3e0%3c%2fType%3e%0d%0a++++++++++++%3cNameIndex%3e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0.316%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O%2417%3c%2fAddress%3e%0d%0a++++++++++++%3cListItemsAddress+%2f%3e%0d%0a++++++++++++%3cType%3e0%3c%2fType%3e%0d%0a++++++++++++%3cNameIndex%3e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0.311%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C%2419%3c%2fAddress%3e%0d%0a++++++++++++%3cListItemsAddress+%2f%3e%0d%0a++++++++++++%3cType%3e0%3c%2fType%3e%0d%0a++++++++++++%3cNameIndex%3e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0.309%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E%2419%3c%2fAddress%3e%0d%0a++++++++++++%3cListItemsAddress+%2f%3e%0d%0a++++++++++++%3cType%3e0%3c%2fType%3e%0d%0a++++++++++++%3cNameIndex%3e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0.680%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G%2419%3c%2fAddress%3e%0d%0a++++++++++++%3cListItemsAddress+%2f%3e%0d%0a++++++++++++%3cType%3e0%3c%2fType%3e%0d%0a++++++++++++%3cNameIndex%3e10%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0.051%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I%2419%3c%2fAddress%3e%0d%0a++++++++++++%3cListItemsAddress+%2f%3e%0d%0a++++++++++++%3cType%3e0%3c%2fType%3e%0d%0a++++++++++++%3cNameIndex%3e11%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0.516%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K%2419%3c%2fAddress%3e%0d%0a++++++++++++%3cListItemsAddress+%2f%3e%0d%0a++++++++++++%3cType%3e0%3c%2fType%3e%0d%0a++++++++++++%3cNameIndex%3e12%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0.330%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M%2419%3c%2fAddress%3e%0d%0a++++++++++++%3cListItemsAddress+%2f%3e%0d%0a++++++++++++%3cType%3e0%3c%2fType%3e%0d%0a++++++++++++%3cNameIndex%3e13%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0.149%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O%2419%3c%2fAddress%3e%0d%0a++++++++++++%3cListItemsAddress+%2f%3e%0d%0a++++++++++++%3cType%3e0%3c%2fType%3e%0d%0a++++++++++++%3cNameIndex%3e14%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0.329%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C%2421%3c%2fAddress%3e%0d%0a++++++++++++%3cListItemsAddress+%2f%3e%0d%0a++++++++++++%3cType%3e0%3c%2fType%3e%0d%0a++++++++++++%3cNameIndex%3e15%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3.760%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E%2421%3c%2fAddress%3e%0d%0a++++++++++++%3cListItemsAddress+%2f%3e%0d%0a++++++++++++%3cType%3e0%3c%2fType%3e%0d%0a++++++++++++%3cNameIndex%3e16%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15.740%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G%2421%3c%2fAddress%3e%0d%0a++++++++++++%3cListItemsAddress+%2f%3e%0d%0a++++++++++++%3cType%3e0%3c%2fType%3e%0d%0a++++++++++++%3cNameIndex%3e17%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1.190%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I%2421%3c%2fAddress%3e%0d%0a++++++++++++%3cListItemsAddress+%2f%3e%0d%0a++++++++++++%3cType%3e0%3c%2fType%3e%0d%0a++++++++++++%3cNameIndex%3e18%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17.040%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K%2421%3c%2fAddress%3e%0d%0a++++++++++++%3cListItemsAddress+%2f%3e%0d%0a++++++++++++%3cType%3e0%3c%2fType%3e%0d%0a++++++++++++%3cNameIndex%3e19%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14.030%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M%2421%3c%2fAddress%3e%0d%0a++++++++++++%3cListItemsAddress+%2f%3e%0d%0a++++++++++++%3cType%3e0%3c%2fType%3e%0d%0a++++++++++++%3cNameIndex%3e20%3c%2fNameIndex%3e%0d%0a++++++++++++%3cIsHidingEnabled%3efalse%3c%2fIsHidingEnabled%3e%0d%0a++++++++++++%3cIsDisablingEnabled%3efalse%3c%2fIsDisablingEnabled%3e%0d%0a++++++++++++%3cRequiresValidation%3efalse%3c%2fRequiresValidation%3e%0d%0a++++++++++++%3cIsRequired%3efalse%3c%2fIsRequired%3e%0d%0a++++++++++++%3cTypeName%3eText+Box%3c%2fTypeName%3e%0d%0a++++++++++++%3cDefaultValue%3e4.850%3c%2fDefaultValue%3e%0d%0a++++++++++++%3cValueType%3eSystem.Double%3c%2fValueType%3e%0d%0a++++++++++++%3cGroupSizes%3e0%3c%2fGroupSizes%3e%0d%0a++++++++++++%3cGroupSeparator+%2f%3e%0d%0a++++++++++++%3cDecimalDigits%3e0%3c%2fDecimalDigits%3e%0d%0a++++++++++++%3cDecimalSeparator+%2f%3e%0d%0a++++++++++++%3cNegativePattern+%2f%3e%0d%0a++++++++++++%3cPositivePattern+%2f%3e%0d%0a++++++++++++%3cAllowRounding%3efalse%3c%2fAllowRounding%3e%0d%0a++++++++++++%3cTextFormat%3eNumber%3c%2fTextFormat%3e%0d%0a++++++++++++%3cListValues+%2f%3e%0d%0a++++++++++++%3cIsControlEnabled%3efalse%3c%2fIsControlEnabled%3e%0d%0a++++++++++++%3cIsControlVisible%3efalse%3c%2fIsControlVisible%3e%0d%0a++++++++++%3c%2fInputCell%3e%0d%0a++++++++++%3cInputCell%3e%0d%0a++++++++++++%3cAddress%3e%3d'Sheet1'!%24O%2421%3c%2fAddress%3e%0d%0a++++++++++++%3cListItemsAddress+%2f%3e%0d%0a++++++++++++%3cType%3e0%3c%2fType%3e%0d%0a++++++++++++%3cNameIndex%3e21%3c%2fNameIndex%3e%0d%0a++++++++++++%3cIsHidingEnabled%3efalse%3c%2fIsHidingEnabled%3e%0d%0a++++++++++++%3cIsDisablingEnabled%3efalse%3c</t>
  </si>
  <si>
    <t>x</t>
  </si>
  <si>
    <t>y</t>
  </si>
  <si>
    <t>Y</t>
  </si>
  <si>
    <t xml:space="preserve">Red </t>
  </si>
  <si>
    <t xml:space="preserve">Green </t>
  </si>
  <si>
    <t xml:space="preserve">Blue </t>
  </si>
  <si>
    <t>Yellow</t>
  </si>
  <si>
    <t>Cyan</t>
  </si>
  <si>
    <t>Magenta</t>
  </si>
  <si>
    <t>White</t>
  </si>
  <si>
    <t>PAL</t>
  </si>
  <si>
    <t>SMPTE-C</t>
  </si>
  <si>
    <t>Rec. 709</t>
  </si>
  <si>
    <t>R</t>
  </si>
  <si>
    <t>G</t>
  </si>
  <si>
    <t>B</t>
  </si>
  <si>
    <t>C</t>
  </si>
  <si>
    <t>M</t>
  </si>
  <si>
    <t>W</t>
  </si>
  <si>
    <t>CIELUV</t>
  </si>
  <si>
    <t>CIELAB</t>
  </si>
  <si>
    <t>CIE94</t>
  </si>
  <si>
    <t>L</t>
  </si>
  <si>
    <t>S</t>
  </si>
  <si>
    <t>H</t>
  </si>
  <si>
    <t>X</t>
  </si>
  <si>
    <t>Z</t>
  </si>
  <si>
    <t>z</t>
  </si>
  <si>
    <t>a</t>
  </si>
  <si>
    <t>b</t>
  </si>
  <si>
    <t>Reference 1976</t>
  </si>
  <si>
    <t>Xr</t>
  </si>
  <si>
    <t>Yr</t>
  </si>
  <si>
    <t>Zr</t>
  </si>
  <si>
    <t>Fx</t>
  </si>
  <si>
    <t>Fy</t>
  </si>
  <si>
    <t>Fz</t>
  </si>
  <si>
    <t>yr</t>
  </si>
  <si>
    <t>u'r</t>
  </si>
  <si>
    <t>v'r</t>
  </si>
  <si>
    <t>u'</t>
  </si>
  <si>
    <t>v'</t>
  </si>
  <si>
    <t>u</t>
  </si>
  <si>
    <t>v</t>
  </si>
  <si>
    <t>Test 1976</t>
  </si>
  <si>
    <t>ΔL</t>
  </si>
  <si>
    <t>ΔC</t>
  </si>
  <si>
    <t>ΔH</t>
  </si>
  <si>
    <t>C1</t>
  </si>
  <si>
    <t>C2</t>
  </si>
  <si>
    <t>Δa</t>
  </si>
  <si>
    <t>Δb</t>
  </si>
  <si>
    <t>SL</t>
  </si>
  <si>
    <t>SC</t>
  </si>
  <si>
    <t>SH</t>
  </si>
  <si>
    <t>KL</t>
  </si>
  <si>
    <t>KC</t>
  </si>
  <si>
    <t>KH</t>
  </si>
  <si>
    <t>K1</t>
  </si>
  <si>
    <t>K2</t>
  </si>
  <si>
    <t>DCI</t>
  </si>
  <si>
    <t>Test CIE94</t>
  </si>
  <si>
    <t>25^7</t>
  </si>
  <si>
    <t>k_L</t>
  </si>
  <si>
    <t>k_C</t>
  </si>
  <si>
    <t>k_H</t>
  </si>
  <si>
    <t>L1</t>
  </si>
  <si>
    <t>a1</t>
  </si>
  <si>
    <t>b1</t>
  </si>
  <si>
    <t>L2</t>
  </si>
  <si>
    <t>a2</t>
  </si>
  <si>
    <t>b2</t>
  </si>
  <si>
    <t>C_ave</t>
  </si>
  <si>
    <t>L1'</t>
  </si>
  <si>
    <t>a1'</t>
  </si>
  <si>
    <t>b1'</t>
  </si>
  <si>
    <t>L2'</t>
  </si>
  <si>
    <t>a2'</t>
  </si>
  <si>
    <t>b2'</t>
  </si>
  <si>
    <t>C1'</t>
  </si>
  <si>
    <t>C2'</t>
  </si>
  <si>
    <t>h1'</t>
  </si>
  <si>
    <t>h2'</t>
  </si>
  <si>
    <t>dh'</t>
  </si>
  <si>
    <t>dL'</t>
  </si>
  <si>
    <t>dC'</t>
  </si>
  <si>
    <t>dH'</t>
  </si>
  <si>
    <t>L'_ave</t>
  </si>
  <si>
    <t>C'_ave</t>
  </si>
  <si>
    <t>h'_ave</t>
  </si>
  <si>
    <t>(L'_ave-50)^2</t>
  </si>
  <si>
    <t>S_L</t>
  </si>
  <si>
    <t>S_C</t>
  </si>
  <si>
    <t>T</t>
  </si>
  <si>
    <t>S_H</t>
  </si>
  <si>
    <t>dTheta</t>
  </si>
  <si>
    <t>R_C</t>
  </si>
  <si>
    <t>R_T</t>
  </si>
  <si>
    <t>CIE2000 Reference</t>
  </si>
  <si>
    <t>CIE2000 Test</t>
  </si>
  <si>
    <t>CIEDE2000</t>
  </si>
  <si>
    <t>Yx</t>
  </si>
  <si>
    <t>Measured Gamut</t>
  </si>
  <si>
    <t>ΔE, LSH, and RGB Color Analysis</t>
  </si>
  <si>
    <t>Red</t>
  </si>
  <si>
    <t>Green</t>
  </si>
  <si>
    <t>Blue</t>
  </si>
  <si>
    <t>EBU</t>
  </si>
  <si>
    <t>UEsFBgAAAAAAAAAAAAAAAAAAAAAAAA%3d%3d</t>
  </si>
  <si>
    <t>Reference Gamut</t>
  </si>
  <si>
    <t>L Error</t>
  </si>
  <si>
    <t>S Error</t>
  </si>
  <si>
    <t>H Error</t>
  </si>
  <si>
    <t>Black Text = Reference</t>
  </si>
  <si>
    <t>Green Text = Calculated</t>
  </si>
  <si>
    <t>Red Text = Data Entry</t>
  </si>
  <si>
    <t>SQRT((dL'/sL)^2+(dC'/sC)^2+(dH'/sH)^2+rT*(dC'/sC)*(dH'/sH))</t>
  </si>
  <si>
    <t>L'</t>
  </si>
  <si>
    <t>a'1</t>
  </si>
  <si>
    <t>a'2</t>
  </si>
  <si>
    <t>C'1</t>
  </si>
  <si>
    <t>C'2</t>
  </si>
  <si>
    <t>C'</t>
  </si>
  <si>
    <t>h'1</t>
  </si>
  <si>
    <t>h'2</t>
  </si>
  <si>
    <t>H'</t>
  </si>
  <si>
    <t>Δh'</t>
  </si>
  <si>
    <t>ΔL'</t>
  </si>
  <si>
    <t>ΔC'</t>
  </si>
  <si>
    <t>ΔH'</t>
  </si>
  <si>
    <t>L-50^2</t>
  </si>
  <si>
    <t>ΔΘ</t>
  </si>
  <si>
    <t>RC</t>
  </si>
  <si>
    <t>RT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</si>
</sst>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000"/>
    <numFmt numFmtId="170" formatCode="0.000000000000000000"/>
    <numFmt numFmtId="171" formatCode="0.00000000000000000"/>
    <numFmt numFmtId="172" formatCode="0.000000000000000"/>
    <numFmt numFmtId="173" formatCode="0.0000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14"/>
      <color indexed="6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2"/>
    </font>
    <font>
      <strike/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3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59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8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0" borderId="10" xfId="0" applyFill="1" applyBorder="1" applyAlignment="1">
      <alignment horizontal="center"/>
    </xf>
    <xf numFmtId="1" fontId="0" fillId="20" borderId="10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8" fontId="0" fillId="0" borderId="0" xfId="0" applyNumberFormat="1" applyAlignment="1" applyProtection="1">
      <alignment/>
      <protection locked="0"/>
    </xf>
    <xf numFmtId="164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164" fontId="1" fillId="0" borderId="0" xfId="0" applyNumberFormat="1" applyFont="1" applyAlignment="1">
      <alignment/>
    </xf>
    <xf numFmtId="2" fontId="0" fillId="0" borderId="0" xfId="59" applyNumberFormat="1" applyFont="1" applyAlignment="1">
      <alignment/>
    </xf>
    <xf numFmtId="165" fontId="0" fillId="0" borderId="0" xfId="59" applyNumberFormat="1" applyFont="1" applyAlignment="1">
      <alignment/>
    </xf>
    <xf numFmtId="164" fontId="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165" fontId="3" fillId="0" borderId="0" xfId="0" applyNumberFormat="1" applyFont="1" applyAlignment="1" applyProtection="1">
      <alignment/>
      <protection/>
    </xf>
    <xf numFmtId="0" fontId="0" fillId="20" borderId="0" xfId="0" applyFill="1" applyAlignment="1">
      <alignment/>
    </xf>
    <xf numFmtId="0" fontId="1" fillId="20" borderId="0" xfId="0" applyFont="1" applyFill="1" applyAlignment="1">
      <alignment horizontal="center"/>
    </xf>
    <xf numFmtId="0" fontId="1" fillId="20" borderId="0" xfId="0" applyFont="1" applyFill="1" applyAlignment="1">
      <alignment/>
    </xf>
    <xf numFmtId="0" fontId="0" fillId="20" borderId="0" xfId="0" applyFill="1" applyAlignment="1" applyProtection="1">
      <alignment horizontal="center"/>
      <protection locked="0"/>
    </xf>
    <xf numFmtId="0" fontId="1" fillId="20" borderId="0" xfId="0" applyFont="1" applyFill="1" applyAlignment="1">
      <alignment horizontal="right"/>
    </xf>
    <xf numFmtId="164" fontId="0" fillId="20" borderId="0" xfId="0" applyNumberFormat="1" applyFill="1" applyAlignment="1">
      <alignment horizontal="right"/>
    </xf>
    <xf numFmtId="165" fontId="2" fillId="20" borderId="0" xfId="0" applyNumberFormat="1" applyFont="1" applyFill="1" applyAlignment="1" applyProtection="1">
      <alignment/>
      <protection locked="0"/>
    </xf>
    <xf numFmtId="166" fontId="0" fillId="20" borderId="0" xfId="0" applyNumberFormat="1" applyFill="1" applyAlignment="1">
      <alignment/>
    </xf>
    <xf numFmtId="166" fontId="8" fillId="20" borderId="0" xfId="0" applyNumberFormat="1" applyFont="1" applyFill="1" applyAlignment="1">
      <alignment/>
    </xf>
    <xf numFmtId="0" fontId="0" fillId="20" borderId="0" xfId="0" applyFill="1" applyAlignment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165" fontId="2" fillId="20" borderId="0" xfId="0" applyNumberFormat="1" applyFont="1" applyFill="1" applyAlignment="1" applyProtection="1">
      <alignment horizontal="center"/>
      <protection locked="0"/>
    </xf>
    <xf numFmtId="165" fontId="3" fillId="2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20" borderId="11" xfId="0" applyFill="1" applyBorder="1" applyAlignment="1">
      <alignment/>
    </xf>
    <xf numFmtId="0" fontId="10" fillId="20" borderId="0" xfId="0" applyFont="1" applyFill="1" applyAlignment="1">
      <alignment/>
    </xf>
    <xf numFmtId="165" fontId="0" fillId="20" borderId="0" xfId="0" applyNumberFormat="1" applyFill="1" applyAlignment="1">
      <alignment horizontal="center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2" fillId="20" borderId="12" xfId="0" applyFont="1" applyFill="1" applyBorder="1" applyAlignment="1">
      <alignment/>
    </xf>
    <xf numFmtId="165" fontId="8" fillId="20" borderId="0" xfId="0" applyNumberFormat="1" applyFont="1" applyFill="1" applyAlignment="1" applyProtection="1">
      <alignment/>
      <protection locked="0"/>
    </xf>
    <xf numFmtId="0" fontId="13" fillId="20" borderId="13" xfId="0" applyFont="1" applyFill="1" applyBorder="1" applyAlignment="1">
      <alignment/>
    </xf>
    <xf numFmtId="165" fontId="8" fillId="20" borderId="13" xfId="0" applyNumberFormat="1" applyFont="1" applyFill="1" applyBorder="1" applyAlignment="1" applyProtection="1">
      <alignment/>
      <protection locked="0"/>
    </xf>
    <xf numFmtId="167" fontId="13" fillId="20" borderId="0" xfId="0" applyNumberFormat="1" applyFont="1" applyFill="1" applyAlignment="1">
      <alignment/>
    </xf>
    <xf numFmtId="165" fontId="8" fillId="20" borderId="14" xfId="0" applyNumberFormat="1" applyFont="1" applyFill="1" applyBorder="1" applyAlignment="1" applyProtection="1">
      <alignment/>
      <protection locked="0"/>
    </xf>
    <xf numFmtId="167" fontId="13" fillId="20" borderId="15" xfId="0" applyNumberFormat="1" applyFont="1" applyFill="1" applyBorder="1" applyAlignment="1">
      <alignment/>
    </xf>
    <xf numFmtId="0" fontId="1" fillId="20" borderId="15" xfId="0" applyFont="1" applyFill="1" applyBorder="1" applyAlignment="1">
      <alignment horizontal="right"/>
    </xf>
    <xf numFmtId="166" fontId="8" fillId="20" borderId="16" xfId="0" applyNumberFormat="1" applyFont="1" applyFill="1" applyBorder="1" applyAlignment="1">
      <alignment/>
    </xf>
    <xf numFmtId="166" fontId="8" fillId="20" borderId="17" xfId="0" applyNumberFormat="1" applyFont="1" applyFill="1" applyBorder="1" applyAlignment="1">
      <alignment/>
    </xf>
    <xf numFmtId="165" fontId="2" fillId="20" borderId="17" xfId="0" applyNumberFormat="1" applyFont="1" applyFill="1" applyBorder="1" applyAlignment="1" applyProtection="1">
      <alignment/>
      <protection locked="0"/>
    </xf>
    <xf numFmtId="0" fontId="1" fillId="20" borderId="17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right"/>
    </xf>
    <xf numFmtId="0" fontId="0" fillId="20" borderId="17" xfId="0" applyFill="1" applyBorder="1" applyAlignment="1">
      <alignment/>
    </xf>
    <xf numFmtId="0" fontId="1" fillId="20" borderId="13" xfId="0" applyFont="1" applyFill="1" applyBorder="1" applyAlignment="1">
      <alignment horizontal="right"/>
    </xf>
    <xf numFmtId="165" fontId="14" fillId="20" borderId="0" xfId="0" applyNumberFormat="1" applyFont="1" applyFill="1" applyAlignment="1" applyProtection="1">
      <alignment/>
      <protection locked="0"/>
    </xf>
    <xf numFmtId="0" fontId="0" fillId="20" borderId="0" xfId="0" applyFill="1" applyBorder="1" applyAlignment="1">
      <alignment/>
    </xf>
    <xf numFmtId="0" fontId="1" fillId="20" borderId="12" xfId="0" applyFont="1" applyFill="1" applyBorder="1" applyAlignment="1">
      <alignment horizontal="right"/>
    </xf>
    <xf numFmtId="166" fontId="8" fillId="20" borderId="11" xfId="0" applyNumberFormat="1" applyFont="1" applyFill="1" applyBorder="1" applyAlignment="1">
      <alignment/>
    </xf>
    <xf numFmtId="166" fontId="8" fillId="20" borderId="11" xfId="0" applyNumberFormat="1" applyFont="1" applyFill="1" applyBorder="1" applyAlignment="1">
      <alignment horizontal="right"/>
    </xf>
    <xf numFmtId="166" fontId="8" fillId="20" borderId="0" xfId="0" applyNumberFormat="1" applyFont="1" applyFill="1" applyAlignment="1">
      <alignment horizontal="right"/>
    </xf>
    <xf numFmtId="167" fontId="8" fillId="20" borderId="0" xfId="0" applyNumberFormat="1" applyFont="1" applyFill="1" applyAlignment="1">
      <alignment horizontal="right"/>
    </xf>
    <xf numFmtId="167" fontId="8" fillId="20" borderId="18" xfId="0" applyNumberFormat="1" applyFont="1" applyFill="1" applyBorder="1" applyAlignment="1">
      <alignment horizontal="right"/>
    </xf>
    <xf numFmtId="0" fontId="8" fillId="20" borderId="11" xfId="0" applyFont="1" applyFill="1" applyBorder="1" applyAlignment="1">
      <alignment/>
    </xf>
    <xf numFmtId="0" fontId="8" fillId="20" borderId="0" xfId="0" applyFont="1" applyFill="1" applyAlignment="1">
      <alignment/>
    </xf>
    <xf numFmtId="167" fontId="8" fillId="20" borderId="0" xfId="59" applyNumberFormat="1" applyFont="1" applyFill="1" applyAlignment="1">
      <alignment horizontal="right"/>
    </xf>
    <xf numFmtId="167" fontId="8" fillId="20" borderId="15" xfId="59" applyNumberFormat="1" applyFont="1" applyFill="1" applyBorder="1" applyAlignment="1">
      <alignment horizontal="right"/>
    </xf>
    <xf numFmtId="0" fontId="8" fillId="20" borderId="15" xfId="0" applyFont="1" applyFill="1" applyBorder="1" applyAlignment="1">
      <alignment/>
    </xf>
    <xf numFmtId="165" fontId="8" fillId="20" borderId="0" xfId="0" applyNumberFormat="1" applyFont="1" applyFill="1" applyAlignment="1" applyProtection="1">
      <alignment horizontal="center"/>
      <protection locked="0"/>
    </xf>
    <xf numFmtId="165" fontId="8" fillId="20" borderId="0" xfId="0" applyNumberFormat="1" applyFont="1" applyFill="1" applyAlignment="1">
      <alignment horizontal="center"/>
    </xf>
    <xf numFmtId="165" fontId="8" fillId="20" borderId="0" xfId="0" applyNumberFormat="1" applyFont="1" applyFill="1" applyAlignment="1" applyProtection="1">
      <alignment horizontal="center"/>
      <protection/>
    </xf>
    <xf numFmtId="0" fontId="2" fillId="24" borderId="0" xfId="0" applyFont="1" applyFill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8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6" fontId="8" fillId="20" borderId="0" xfId="0" applyNumberFormat="1" applyFont="1" applyFill="1" applyAlignment="1" applyProtection="1">
      <alignment/>
      <protection/>
    </xf>
    <xf numFmtId="165" fontId="14" fillId="20" borderId="0" xfId="0" applyNumberFormat="1" applyFont="1" applyFill="1" applyAlignment="1" applyProtection="1">
      <alignment horizontal="right"/>
      <protection/>
    </xf>
    <xf numFmtId="168" fontId="3" fillId="0" borderId="0" xfId="0" applyNumberFormat="1" applyFont="1" applyFill="1" applyBorder="1" applyAlignment="1">
      <alignment/>
    </xf>
    <xf numFmtId="0" fontId="1" fillId="20" borderId="0" xfId="0" applyFont="1" applyFill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0" fillId="0" borderId="0" xfId="0" applyAlignment="1">
      <alignment/>
    </xf>
    <xf numFmtId="0" fontId="1" fillId="20" borderId="11" xfId="0" applyFont="1" applyFill="1" applyBorder="1" applyAlignment="1">
      <alignment horizontal="center"/>
    </xf>
    <xf numFmtId="165" fontId="14" fillId="2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2" fontId="8" fillId="20" borderId="11" xfId="0" applyNumberFormat="1" applyFont="1" applyFill="1" applyBorder="1" applyAlignment="1">
      <alignment horizontal="right"/>
    </xf>
    <xf numFmtId="2" fontId="8" fillId="2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9"/>
  <sheetViews>
    <sheetView showGridLines="0" tabSelected="1" zoomScalePageLayoutView="0" workbookViewId="0" topLeftCell="A1">
      <selection activeCell="T29" sqref="T29"/>
    </sheetView>
  </sheetViews>
  <sheetFormatPr defaultColWidth="9.140625" defaultRowHeight="12.75"/>
  <cols>
    <col min="1" max="1" width="12.7109375" style="0" customWidth="1"/>
    <col min="2" max="2" width="12.140625" style="0" customWidth="1"/>
    <col min="3" max="3" width="8.7109375" style="0" customWidth="1"/>
    <col min="4" max="4" width="8.8515625" style="0" customWidth="1"/>
    <col min="5" max="5" width="12.57421875" style="0" bestFit="1" customWidth="1"/>
    <col min="6" max="6" width="7.851562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8.28125" style="0" customWidth="1"/>
    <col min="14" max="14" width="7.00390625" style="0" customWidth="1"/>
    <col min="15" max="15" width="7.57421875" style="0" bestFit="1" customWidth="1"/>
    <col min="16" max="16" width="7.28125" style="0" customWidth="1"/>
    <col min="17" max="17" width="7.28125" style="0" bestFit="1" customWidth="1"/>
    <col min="18" max="18" width="8.140625" style="0" customWidth="1"/>
    <col min="19" max="19" width="11.140625" style="0" bestFit="1" customWidth="1"/>
    <col min="20" max="20" width="10.28125" style="0" bestFit="1" customWidth="1"/>
    <col min="21" max="21" width="9.57421875" style="0" bestFit="1" customWidth="1"/>
    <col min="22" max="22" width="9.28125" style="0" bestFit="1" customWidth="1"/>
    <col min="32" max="32" width="10.140625" style="0" bestFit="1" customWidth="1"/>
    <col min="33" max="33" width="10.421875" style="0" bestFit="1" customWidth="1"/>
    <col min="37" max="37" width="18.00390625" style="0" customWidth="1"/>
    <col min="38" max="38" width="9.28125" style="0" bestFit="1" customWidth="1"/>
    <col min="39" max="39" width="13.8515625" style="0" bestFit="1" customWidth="1"/>
    <col min="41" max="41" width="10.421875" style="0" customWidth="1"/>
    <col min="45" max="45" width="17.57421875" style="0" customWidth="1"/>
    <col min="49" max="49" width="15.7109375" style="0" bestFit="1" customWidth="1"/>
    <col min="50" max="50" width="10.421875" style="0" bestFit="1" customWidth="1"/>
    <col min="53" max="53" width="14.28125" style="0" bestFit="1" customWidth="1"/>
    <col min="54" max="54" width="15.140625" style="0" bestFit="1" customWidth="1"/>
    <col min="55" max="55" width="15.57421875" style="0" bestFit="1" customWidth="1"/>
    <col min="86" max="86" width="4.00390625" style="0" bestFit="1" customWidth="1"/>
  </cols>
  <sheetData>
    <row r="1" spans="1:17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2.75">
      <c r="A2" s="42"/>
      <c r="B2" s="42"/>
      <c r="C2" s="42"/>
      <c r="D2" s="42"/>
      <c r="E2" s="42"/>
      <c r="F2" s="42"/>
      <c r="G2" s="42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43" ht="12.75">
      <c r="A3" s="42"/>
      <c r="B3" s="44" t="s">
        <v>136</v>
      </c>
      <c r="C3" s="48"/>
      <c r="D3" s="48"/>
      <c r="E3" s="42"/>
      <c r="F3" s="44"/>
      <c r="G3" s="42"/>
      <c r="H3" s="48"/>
      <c r="I3" s="48"/>
      <c r="J3" s="48"/>
      <c r="K3" s="48"/>
      <c r="L3" s="48"/>
      <c r="M3" s="48"/>
      <c r="N3" s="48"/>
      <c r="O3" s="48"/>
      <c r="P3" s="48"/>
      <c r="Q3" s="48"/>
      <c r="AQ3" s="1" t="s">
        <v>38</v>
      </c>
    </row>
    <row r="4" spans="1:46" ht="12.75">
      <c r="A4" s="42"/>
      <c r="B4" s="96" t="s">
        <v>39</v>
      </c>
      <c r="C4" s="42"/>
      <c r="D4" s="42"/>
      <c r="E4" s="42"/>
      <c r="F4" s="45"/>
      <c r="G4" s="42"/>
      <c r="H4" s="48"/>
      <c r="I4" s="48"/>
      <c r="J4" s="48"/>
      <c r="K4" s="48"/>
      <c r="L4" s="48"/>
      <c r="M4" s="48"/>
      <c r="N4" s="48"/>
      <c r="O4" s="48"/>
      <c r="P4" s="48"/>
      <c r="Q4" s="48"/>
      <c r="AO4" s="1" t="s">
        <v>38</v>
      </c>
      <c r="AP4">
        <v>1</v>
      </c>
      <c r="AQ4" s="1"/>
      <c r="AR4" s="2" t="s">
        <v>27</v>
      </c>
      <c r="AS4" s="2" t="s">
        <v>28</v>
      </c>
      <c r="AT4" s="2" t="s">
        <v>29</v>
      </c>
    </row>
    <row r="5" spans="1:46" ht="12.75">
      <c r="A5" s="42"/>
      <c r="B5" s="42"/>
      <c r="C5" s="42"/>
      <c r="D5" s="42"/>
      <c r="E5" s="42"/>
      <c r="F5" s="42"/>
      <c r="G5" s="42"/>
      <c r="H5" s="48"/>
      <c r="I5" s="80" t="s">
        <v>140</v>
      </c>
      <c r="J5" s="48"/>
      <c r="K5" s="48"/>
      <c r="L5" s="48"/>
      <c r="M5" s="48"/>
      <c r="N5" s="48"/>
      <c r="O5" s="48"/>
      <c r="P5" s="48"/>
      <c r="Q5" s="48"/>
      <c r="AO5" s="1" t="s">
        <v>39</v>
      </c>
      <c r="AP5">
        <v>2</v>
      </c>
      <c r="AQ5" s="1" t="s">
        <v>30</v>
      </c>
      <c r="AR5" s="3">
        <v>0.63</v>
      </c>
      <c r="AS5" s="3">
        <v>0.34</v>
      </c>
      <c r="AT5" s="3">
        <v>0.2124</v>
      </c>
    </row>
    <row r="6" spans="1:46" ht="12.75">
      <c r="A6" s="42"/>
      <c r="B6" s="43" t="s">
        <v>27</v>
      </c>
      <c r="C6" s="43" t="s">
        <v>28</v>
      </c>
      <c r="D6" s="43" t="s">
        <v>29</v>
      </c>
      <c r="E6" s="42"/>
      <c r="F6" s="42"/>
      <c r="G6" s="42"/>
      <c r="H6" s="48"/>
      <c r="I6" s="80" t="s">
        <v>141</v>
      </c>
      <c r="J6" s="48"/>
      <c r="K6" s="48"/>
      <c r="L6" s="48"/>
      <c r="M6" s="48"/>
      <c r="N6" s="48"/>
      <c r="O6" s="48"/>
      <c r="P6" s="48"/>
      <c r="Q6" s="57">
        <v>2</v>
      </c>
      <c r="AO6" s="1" t="s">
        <v>134</v>
      </c>
      <c r="AP6">
        <v>3</v>
      </c>
      <c r="AQ6" s="1" t="s">
        <v>31</v>
      </c>
      <c r="AR6" s="3">
        <v>0.31</v>
      </c>
      <c r="AS6" s="3">
        <v>0.595</v>
      </c>
      <c r="AT6" s="3">
        <v>0.7011</v>
      </c>
    </row>
    <row r="7" spans="1:46" ht="12.75">
      <c r="A7" s="46" t="s">
        <v>40</v>
      </c>
      <c r="B7" s="47">
        <f aca="true" t="shared" si="0" ref="B7:D13">IF($B$4="SMPTE-C",AR5,IF($B$4="Rec. 709",AR15,IF($B$4="EBU",AR25,AR35)))</f>
        <v>0.64</v>
      </c>
      <c r="C7" s="47">
        <f t="shared" si="0"/>
        <v>0.33</v>
      </c>
      <c r="D7" s="47">
        <f t="shared" si="0"/>
        <v>0.2126</v>
      </c>
      <c r="E7" s="42"/>
      <c r="F7" s="42"/>
      <c r="G7" s="51"/>
      <c r="H7" s="48"/>
      <c r="I7" s="80" t="s">
        <v>142</v>
      </c>
      <c r="J7" s="48"/>
      <c r="K7" s="48"/>
      <c r="L7" s="48"/>
      <c r="M7" s="48"/>
      <c r="N7" s="48"/>
      <c r="O7" s="48"/>
      <c r="P7" s="48"/>
      <c r="Q7" s="48"/>
      <c r="AO7" s="1" t="s">
        <v>87</v>
      </c>
      <c r="AP7">
        <v>4</v>
      </c>
      <c r="AQ7" s="1" t="s">
        <v>32</v>
      </c>
      <c r="AR7" s="3">
        <v>0.155</v>
      </c>
      <c r="AS7" s="3">
        <v>0.07</v>
      </c>
      <c r="AT7" s="3">
        <v>0.0866</v>
      </c>
    </row>
    <row r="8" spans="1:46" ht="12.75">
      <c r="A8" s="46" t="s">
        <v>41</v>
      </c>
      <c r="B8" s="47">
        <f t="shared" si="0"/>
        <v>0.3</v>
      </c>
      <c r="C8" s="47">
        <f t="shared" si="0"/>
        <v>0.6</v>
      </c>
      <c r="D8" s="47">
        <f t="shared" si="0"/>
        <v>0.7152</v>
      </c>
      <c r="E8" s="42"/>
      <c r="F8" s="42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AO8" s="1"/>
      <c r="AQ8" s="1" t="s">
        <v>33</v>
      </c>
      <c r="AR8" s="3">
        <v>0.4209</v>
      </c>
      <c r="AS8" s="3">
        <v>0.5067</v>
      </c>
      <c r="AT8" s="3">
        <v>0.9134</v>
      </c>
    </row>
    <row r="9" spans="1:46" ht="12.75">
      <c r="A9" s="46" t="s">
        <v>42</v>
      </c>
      <c r="B9" s="47">
        <f t="shared" si="0"/>
        <v>0.15</v>
      </c>
      <c r="C9" s="47">
        <f t="shared" si="0"/>
        <v>0.06</v>
      </c>
      <c r="D9" s="47">
        <f t="shared" si="0"/>
        <v>0.0722</v>
      </c>
      <c r="E9" s="42"/>
      <c r="F9" s="42"/>
      <c r="G9" s="44" t="s">
        <v>1</v>
      </c>
      <c r="H9" s="42"/>
      <c r="I9" s="48"/>
      <c r="J9" s="80" t="s">
        <v>2</v>
      </c>
      <c r="K9" s="48"/>
      <c r="L9" s="48"/>
      <c r="M9" s="42"/>
      <c r="N9" s="118" t="s">
        <v>5</v>
      </c>
      <c r="O9" s="119"/>
      <c r="P9" s="42"/>
      <c r="Q9" s="48"/>
      <c r="AQ9" s="1" t="s">
        <v>34</v>
      </c>
      <c r="AR9" s="3">
        <v>0.2306</v>
      </c>
      <c r="AS9" s="3">
        <v>0.3262</v>
      </c>
      <c r="AT9" s="3">
        <v>0.7876</v>
      </c>
    </row>
    <row r="10" spans="1:46" ht="12.75">
      <c r="A10" s="46" t="s">
        <v>29</v>
      </c>
      <c r="B10" s="47">
        <f t="shared" si="0"/>
        <v>0.4193</v>
      </c>
      <c r="C10" s="47">
        <f t="shared" si="0"/>
        <v>0.5053</v>
      </c>
      <c r="D10" s="47">
        <f t="shared" si="0"/>
        <v>0.9278</v>
      </c>
      <c r="E10" s="42"/>
      <c r="F10" s="46" t="s">
        <v>27</v>
      </c>
      <c r="G10" s="97">
        <v>0.64</v>
      </c>
      <c r="H10" s="48"/>
      <c r="I10" s="46" t="s">
        <v>27</v>
      </c>
      <c r="J10" s="97">
        <v>0.64</v>
      </c>
      <c r="K10" s="48"/>
      <c r="L10" s="48"/>
      <c r="M10" s="111" t="s">
        <v>127</v>
      </c>
      <c r="N10" s="110">
        <f>AG65</f>
        <v>3.067598141843007</v>
      </c>
      <c r="O10" s="48"/>
      <c r="P10" s="42"/>
      <c r="Q10" s="48"/>
      <c r="AO10" s="1" t="s">
        <v>46</v>
      </c>
      <c r="AQ10" s="1" t="s">
        <v>35</v>
      </c>
      <c r="AR10" s="3">
        <v>0.3144</v>
      </c>
      <c r="AS10" s="3">
        <v>0.1606</v>
      </c>
      <c r="AT10" s="3">
        <v>0.2989</v>
      </c>
    </row>
    <row r="11" spans="1:46" ht="12.75">
      <c r="A11" s="46" t="s">
        <v>43</v>
      </c>
      <c r="B11" s="47">
        <f t="shared" si="0"/>
        <v>0.2246</v>
      </c>
      <c r="C11" s="47">
        <f t="shared" si="0"/>
        <v>0.3287</v>
      </c>
      <c r="D11" s="47">
        <f t="shared" si="0"/>
        <v>0.7874</v>
      </c>
      <c r="E11" s="42"/>
      <c r="F11" s="46" t="s">
        <v>28</v>
      </c>
      <c r="G11" s="97">
        <v>0.33</v>
      </c>
      <c r="H11" s="48"/>
      <c r="I11" s="46" t="s">
        <v>28</v>
      </c>
      <c r="J11" s="97">
        <v>0.33</v>
      </c>
      <c r="K11" s="48"/>
      <c r="L11" s="48"/>
      <c r="M11" s="111" t="s">
        <v>48</v>
      </c>
      <c r="N11" s="110">
        <f>AF65</f>
        <v>3.221559230112385</v>
      </c>
      <c r="O11" s="48"/>
      <c r="P11" s="42"/>
      <c r="Q11" s="48"/>
      <c r="AO11" s="1" t="s">
        <v>47</v>
      </c>
      <c r="AQ11" s="1" t="s">
        <v>36</v>
      </c>
      <c r="AR11">
        <v>0.3127</v>
      </c>
      <c r="AS11" s="3">
        <v>0.329</v>
      </c>
      <c r="AT11" s="4">
        <v>1</v>
      </c>
    </row>
    <row r="12" spans="1:41" ht="12.75">
      <c r="A12" s="46" t="s">
        <v>44</v>
      </c>
      <c r="B12" s="47">
        <f t="shared" si="0"/>
        <v>0.3209</v>
      </c>
      <c r="C12" s="47">
        <f t="shared" si="0"/>
        <v>0.1542</v>
      </c>
      <c r="D12" s="47">
        <f t="shared" si="0"/>
        <v>0.2848</v>
      </c>
      <c r="E12" s="42"/>
      <c r="F12" s="46" t="s">
        <v>29</v>
      </c>
      <c r="G12" s="97">
        <v>0.2126</v>
      </c>
      <c r="H12" s="48"/>
      <c r="I12" s="46" t="s">
        <v>29</v>
      </c>
      <c r="J12" s="97">
        <v>0.2426</v>
      </c>
      <c r="K12" s="48"/>
      <c r="L12" s="48"/>
      <c r="M12" s="111" t="s">
        <v>46</v>
      </c>
      <c r="N12" s="110">
        <f>AE65</f>
        <v>10.92668526669846</v>
      </c>
      <c r="O12" s="48"/>
      <c r="P12" s="42"/>
      <c r="Q12" s="48"/>
      <c r="AO12" s="1" t="s">
        <v>48</v>
      </c>
    </row>
    <row r="13" spans="1:43" ht="12.75">
      <c r="A13" s="46" t="s">
        <v>45</v>
      </c>
      <c r="B13" s="47">
        <f t="shared" si="0"/>
        <v>0.3127</v>
      </c>
      <c r="C13" s="47">
        <f t="shared" si="0"/>
        <v>0.329</v>
      </c>
      <c r="D13" s="47">
        <f t="shared" si="0"/>
        <v>1</v>
      </c>
      <c r="E13" s="42"/>
      <c r="F13" s="42"/>
      <c r="G13" s="42"/>
      <c r="H13" s="48"/>
      <c r="I13" s="48"/>
      <c r="J13" s="48"/>
      <c r="K13" s="48"/>
      <c r="L13" s="48"/>
      <c r="M13" s="111" t="s">
        <v>47</v>
      </c>
      <c r="N13" s="110">
        <f>AD65</f>
        <v>5.640387821734386</v>
      </c>
      <c r="O13" s="48"/>
      <c r="P13" s="42"/>
      <c r="Q13" s="48"/>
      <c r="AO13" s="1" t="s">
        <v>127</v>
      </c>
      <c r="AQ13" s="1" t="s">
        <v>39</v>
      </c>
    </row>
    <row r="14" spans="1:46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AQ14" s="1"/>
      <c r="AR14" s="2" t="s">
        <v>27</v>
      </c>
      <c r="AS14" s="2" t="s">
        <v>28</v>
      </c>
      <c r="AT14" s="2" t="s">
        <v>29</v>
      </c>
    </row>
    <row r="15" spans="1:46" ht="12.75">
      <c r="A15" s="42"/>
      <c r="B15" s="44" t="s">
        <v>129</v>
      </c>
      <c r="C15" s="42"/>
      <c r="D15" s="42"/>
      <c r="E15" s="42"/>
      <c r="F15" s="48"/>
      <c r="G15" s="42"/>
      <c r="H15" s="42"/>
      <c r="I15" s="42"/>
      <c r="J15" s="113"/>
      <c r="K15" s="114"/>
      <c r="L15" s="114"/>
      <c r="M15" s="42"/>
      <c r="N15" s="42"/>
      <c r="O15" s="42"/>
      <c r="P15" s="42"/>
      <c r="Q15" s="42"/>
      <c r="AO15" s="1"/>
      <c r="AQ15" s="1" t="s">
        <v>30</v>
      </c>
      <c r="AR15" s="3">
        <v>0.64</v>
      </c>
      <c r="AS15" s="3">
        <v>0.33</v>
      </c>
      <c r="AT15" s="3">
        <v>0.2126</v>
      </c>
    </row>
    <row r="16" spans="1:46" ht="12.75">
      <c r="A16" s="42"/>
      <c r="B16" s="42"/>
      <c r="C16" s="43" t="s">
        <v>36</v>
      </c>
      <c r="D16" s="42"/>
      <c r="E16" s="43" t="s">
        <v>131</v>
      </c>
      <c r="F16" s="48"/>
      <c r="G16" s="43" t="s">
        <v>132</v>
      </c>
      <c r="H16" s="42"/>
      <c r="I16" s="43" t="s">
        <v>133</v>
      </c>
      <c r="J16" s="42"/>
      <c r="K16" s="43" t="s">
        <v>33</v>
      </c>
      <c r="L16" s="42"/>
      <c r="M16" s="43" t="s">
        <v>34</v>
      </c>
      <c r="N16" s="46"/>
      <c r="O16" s="43" t="s">
        <v>35</v>
      </c>
      <c r="P16" s="42"/>
      <c r="Q16" s="42"/>
      <c r="R16" s="1"/>
      <c r="S16" s="2"/>
      <c r="T16" s="2"/>
      <c r="U16" s="2"/>
      <c r="AQ16" s="1" t="s">
        <v>31</v>
      </c>
      <c r="AR16" s="3">
        <v>0.3</v>
      </c>
      <c r="AS16" s="3">
        <v>0.6</v>
      </c>
      <c r="AT16" s="3">
        <v>0.7152</v>
      </c>
    </row>
    <row r="17" spans="1:46" ht="12.75">
      <c r="A17" s="42"/>
      <c r="B17" s="46" t="s">
        <v>27</v>
      </c>
      <c r="C17" s="52">
        <v>0.3027</v>
      </c>
      <c r="D17" s="42"/>
      <c r="E17" s="52">
        <v>0.64</v>
      </c>
      <c r="F17" s="48"/>
      <c r="G17" s="52">
        <v>0.266</v>
      </c>
      <c r="H17" s="42"/>
      <c r="I17" s="52">
        <v>0.145</v>
      </c>
      <c r="J17" s="42"/>
      <c r="K17" s="52">
        <v>0.439</v>
      </c>
      <c r="L17" s="42"/>
      <c r="M17" s="52">
        <v>0.197</v>
      </c>
      <c r="N17" s="48"/>
      <c r="O17" s="52">
        <v>0.344</v>
      </c>
      <c r="P17" s="42"/>
      <c r="Q17" s="42"/>
      <c r="R17" s="37"/>
      <c r="AQ17" s="1" t="s">
        <v>32</v>
      </c>
      <c r="AR17" s="3">
        <v>0.15</v>
      </c>
      <c r="AS17" s="3">
        <v>0.06</v>
      </c>
      <c r="AT17" s="3">
        <v>0.0722</v>
      </c>
    </row>
    <row r="18" spans="1:46" ht="12.75">
      <c r="A18" s="42"/>
      <c r="B18" s="42"/>
      <c r="C18" s="42"/>
      <c r="D18" s="42"/>
      <c r="E18" s="42"/>
      <c r="F18" s="48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37"/>
      <c r="AQ18" s="1" t="s">
        <v>33</v>
      </c>
      <c r="AR18" s="3">
        <v>0.4193</v>
      </c>
      <c r="AS18" s="3">
        <v>0.5053</v>
      </c>
      <c r="AT18" s="3">
        <v>0.9278</v>
      </c>
    </row>
    <row r="19" spans="1:46" ht="12.75">
      <c r="A19" s="42"/>
      <c r="B19" s="46" t="s">
        <v>28</v>
      </c>
      <c r="C19" s="52">
        <v>0.329</v>
      </c>
      <c r="D19" s="51"/>
      <c r="E19" s="52">
        <v>0.331</v>
      </c>
      <c r="F19" s="48"/>
      <c r="G19" s="52">
        <v>0.661</v>
      </c>
      <c r="H19" s="51"/>
      <c r="I19" s="52">
        <v>0.067</v>
      </c>
      <c r="J19" s="51"/>
      <c r="K19" s="52">
        <v>0.518</v>
      </c>
      <c r="L19" s="51"/>
      <c r="M19" s="52">
        <v>0.326</v>
      </c>
      <c r="N19" s="53"/>
      <c r="O19" s="52">
        <v>0.164</v>
      </c>
      <c r="P19" s="42"/>
      <c r="Q19" s="42"/>
      <c r="R19" s="41"/>
      <c r="AQ19" s="1" t="s">
        <v>34</v>
      </c>
      <c r="AR19" s="3">
        <v>0.2246</v>
      </c>
      <c r="AS19" s="3">
        <v>0.3287</v>
      </c>
      <c r="AT19" s="3">
        <v>0.7874</v>
      </c>
    </row>
    <row r="20" spans="1:46" ht="12.75">
      <c r="A20" s="42"/>
      <c r="B20" s="42"/>
      <c r="C20" s="42"/>
      <c r="D20" s="42"/>
      <c r="E20" s="42"/>
      <c r="F20" s="48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7"/>
      <c r="AQ20" s="1" t="s">
        <v>35</v>
      </c>
      <c r="AR20" s="3">
        <v>0.3209</v>
      </c>
      <c r="AS20" s="3">
        <v>0.1542</v>
      </c>
      <c r="AT20" s="3">
        <v>0.2848</v>
      </c>
    </row>
    <row r="21" spans="1:46" ht="12.75">
      <c r="A21" s="42"/>
      <c r="B21" s="46" t="s">
        <v>128</v>
      </c>
      <c r="C21" s="52">
        <v>100</v>
      </c>
      <c r="D21" s="51"/>
      <c r="E21" s="52">
        <v>21.98</v>
      </c>
      <c r="F21" s="48"/>
      <c r="G21" s="52">
        <v>20.43</v>
      </c>
      <c r="H21" s="51"/>
      <c r="I21" s="52">
        <v>2.21</v>
      </c>
      <c r="J21" s="51"/>
      <c r="K21" s="52">
        <v>27.8</v>
      </c>
      <c r="L21" s="51"/>
      <c r="M21" s="52">
        <v>21.22</v>
      </c>
      <c r="N21" s="54"/>
      <c r="O21" s="52">
        <v>8</v>
      </c>
      <c r="P21" s="42"/>
      <c r="Q21" s="42"/>
      <c r="R21" s="36"/>
      <c r="AQ21" s="1" t="s">
        <v>36</v>
      </c>
      <c r="AR21">
        <v>0.3127</v>
      </c>
      <c r="AS21" s="3">
        <v>0.329</v>
      </c>
      <c r="AT21" s="4">
        <v>1</v>
      </c>
    </row>
    <row r="22" spans="1:18" ht="12.75">
      <c r="A22" s="42"/>
      <c r="B22" s="42"/>
      <c r="C22" s="42"/>
      <c r="D22" s="42"/>
      <c r="E22" s="42"/>
      <c r="F22" s="48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36"/>
    </row>
    <row r="23" spans="1:43" ht="12.75">
      <c r="A23" s="81"/>
      <c r="B23" s="46" t="s">
        <v>29</v>
      </c>
      <c r="C23" s="58">
        <f>C21/$C$21</f>
        <v>1</v>
      </c>
      <c r="D23" s="58"/>
      <c r="E23" s="93">
        <f>E21/$C$21</f>
        <v>0.2198</v>
      </c>
      <c r="F23" s="65"/>
      <c r="G23" s="93">
        <f>G21/$C$21</f>
        <v>0.2043</v>
      </c>
      <c r="H23" s="94"/>
      <c r="I23" s="93">
        <f>I21/$C$21</f>
        <v>0.022099999999999998</v>
      </c>
      <c r="J23" s="94"/>
      <c r="K23" s="93">
        <f>K21/$C$21</f>
        <v>0.278</v>
      </c>
      <c r="L23" s="94"/>
      <c r="M23" s="93">
        <f>M21/$C$21</f>
        <v>0.2122</v>
      </c>
      <c r="N23" s="95"/>
      <c r="O23" s="93">
        <f>O21/$C$21</f>
        <v>0.08</v>
      </c>
      <c r="P23" s="42"/>
      <c r="Q23" s="42"/>
      <c r="R23" s="36"/>
      <c r="AQ23" s="1" t="s">
        <v>37</v>
      </c>
    </row>
    <row r="24" spans="1:46" ht="12.75">
      <c r="A24" s="81"/>
      <c r="B24" s="42"/>
      <c r="C24" s="48"/>
      <c r="D24" s="48"/>
      <c r="E24" s="42"/>
      <c r="F24" s="48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36"/>
      <c r="AQ24" s="1"/>
      <c r="AR24" s="2" t="s">
        <v>27</v>
      </c>
      <c r="AS24" s="2" t="s">
        <v>28</v>
      </c>
      <c r="AT24" s="2" t="s">
        <v>29</v>
      </c>
    </row>
    <row r="25" spans="1:46" ht="12.75">
      <c r="A25" s="78"/>
      <c r="B25" s="82" t="s">
        <v>127</v>
      </c>
      <c r="C25" s="84">
        <f>AG64</f>
        <v>6.985339511395794</v>
      </c>
      <c r="D25" s="64"/>
      <c r="E25" s="120">
        <f>AG58</f>
        <v>0.8546151450189275</v>
      </c>
      <c r="F25" s="88"/>
      <c r="G25" s="84">
        <f>AG59</f>
        <v>27.741302189704403</v>
      </c>
      <c r="H25" s="88"/>
      <c r="I25" s="84">
        <f>AG60</f>
        <v>14.813667751310042</v>
      </c>
      <c r="J25" s="88"/>
      <c r="K25" s="84">
        <f>AG61</f>
        <v>26.821174893653886</v>
      </c>
      <c r="L25" s="88"/>
      <c r="M25" s="84">
        <f>AG62</f>
        <v>28.686530834602475</v>
      </c>
      <c r="N25" s="83"/>
      <c r="O25" s="84">
        <f>AG63</f>
        <v>27.033380659456924</v>
      </c>
      <c r="P25" s="72"/>
      <c r="Q25" s="56"/>
      <c r="R25" s="40"/>
      <c r="AQ25" s="1" t="s">
        <v>30</v>
      </c>
      <c r="AR25" s="3">
        <v>0.64</v>
      </c>
      <c r="AS25" s="3">
        <v>0.33</v>
      </c>
      <c r="AT25" s="3">
        <v>0.222</v>
      </c>
    </row>
    <row r="26" spans="1:46" ht="12.75">
      <c r="A26" s="78"/>
      <c r="B26" s="79" t="s">
        <v>48</v>
      </c>
      <c r="C26" s="85">
        <f>AF64</f>
        <v>5.694461698745948</v>
      </c>
      <c r="D26" s="66"/>
      <c r="E26" s="121">
        <f>AF58</f>
        <v>0.8549634084696806</v>
      </c>
      <c r="F26" s="89"/>
      <c r="G26" s="85">
        <f>AF59</f>
        <v>35.67500996027049</v>
      </c>
      <c r="H26" s="89"/>
      <c r="I26" s="85">
        <f>AF60</f>
        <v>17.554307502447777</v>
      </c>
      <c r="J26" s="89"/>
      <c r="K26" s="85">
        <f>AF61</f>
        <v>37.6951317847783</v>
      </c>
      <c r="L26" s="89"/>
      <c r="M26" s="85">
        <f>AF62</f>
        <v>37.980604498279966</v>
      </c>
      <c r="N26" s="50"/>
      <c r="O26" s="85">
        <f>AF63</f>
        <v>27.27646028131272</v>
      </c>
      <c r="P26" s="73"/>
      <c r="Q26" s="42"/>
      <c r="R26" s="40"/>
      <c r="AQ26" s="1" t="s">
        <v>31</v>
      </c>
      <c r="AR26" s="3">
        <v>0.29</v>
      </c>
      <c r="AS26" s="3">
        <v>0.6</v>
      </c>
      <c r="AT26" s="3">
        <v>0.7067</v>
      </c>
    </row>
    <row r="27" spans="1:46" ht="12.75">
      <c r="A27" s="78"/>
      <c r="B27" s="79" t="s">
        <v>46</v>
      </c>
      <c r="C27" s="85">
        <f>AE64</f>
        <v>9.211752672714974</v>
      </c>
      <c r="D27" s="66"/>
      <c r="E27" s="121">
        <f>AE58</f>
        <v>2.211402109925361</v>
      </c>
      <c r="F27" s="89"/>
      <c r="G27" s="85">
        <f>AE59</f>
        <v>54.2460872628985</v>
      </c>
      <c r="H27" s="89"/>
      <c r="I27" s="85">
        <f>AE60</f>
        <v>68.38744528283318</v>
      </c>
      <c r="J27" s="89"/>
      <c r="K27" s="85">
        <f>AE61</f>
        <v>52.21574229906057</v>
      </c>
      <c r="L27" s="89"/>
      <c r="M27" s="85">
        <f>AE62</f>
        <v>41.76975875549796</v>
      </c>
      <c r="N27" s="50"/>
      <c r="O27" s="85">
        <f>AE63</f>
        <v>66.98259544316906</v>
      </c>
      <c r="P27" s="74"/>
      <c r="Q27" s="42"/>
      <c r="R27" s="40"/>
      <c r="AQ27" s="1" t="s">
        <v>32</v>
      </c>
      <c r="AR27" s="3">
        <v>0.15</v>
      </c>
      <c r="AS27" s="3">
        <v>0.06</v>
      </c>
      <c r="AT27" s="3">
        <v>0.0713</v>
      </c>
    </row>
    <row r="28" spans="1:46" ht="12.75">
      <c r="A28" s="78"/>
      <c r="B28" s="79" t="s">
        <v>47</v>
      </c>
      <c r="C28" s="85">
        <f>AD64</f>
        <v>5.694461698745948</v>
      </c>
      <c r="D28" s="66"/>
      <c r="E28" s="121">
        <f>AD58</f>
        <v>1.674259739100763</v>
      </c>
      <c r="F28" s="89"/>
      <c r="G28" s="85">
        <f>AD59</f>
        <v>42.80207035987362</v>
      </c>
      <c r="H28" s="89"/>
      <c r="I28" s="85">
        <f>AD60</f>
        <v>55.32906351494167</v>
      </c>
      <c r="J28" s="89"/>
      <c r="K28" s="85">
        <f>AD61</f>
        <v>43.14394915539637</v>
      </c>
      <c r="L28" s="89"/>
      <c r="M28" s="85">
        <f>AD62</f>
        <v>38.490594218691015</v>
      </c>
      <c r="N28" s="50"/>
      <c r="O28" s="85">
        <f>AD63</f>
        <v>49.78053906588176</v>
      </c>
      <c r="P28" s="74"/>
      <c r="Q28" s="42"/>
      <c r="AQ28" s="1" t="s">
        <v>33</v>
      </c>
      <c r="AR28" s="3">
        <v>0.4172</v>
      </c>
      <c r="AS28" s="3">
        <v>0.5018</v>
      </c>
      <c r="AT28" s="3">
        <v>0.9287</v>
      </c>
    </row>
    <row r="29" spans="1:46" ht="12.75">
      <c r="A29" s="78"/>
      <c r="B29" s="77" t="s">
        <v>40</v>
      </c>
      <c r="C29" s="86">
        <f>I109</f>
        <v>0.8864975495573867</v>
      </c>
      <c r="D29" s="67"/>
      <c r="E29" s="90">
        <f>(AD47/AD37)-1</f>
        <v>0.014519146757206114</v>
      </c>
      <c r="F29" s="89"/>
      <c r="G29" s="90">
        <f>(AD48/AD38)-1</f>
        <v>-0.4036733067812849</v>
      </c>
      <c r="H29" s="89"/>
      <c r="I29" s="90">
        <f>(AD49/AD39)-1</f>
        <v>-0.4875695268666691</v>
      </c>
      <c r="J29" s="89"/>
      <c r="K29" s="90">
        <f>(AD50/AD40)-1</f>
        <v>-0.38533357502443466</v>
      </c>
      <c r="L29" s="89"/>
      <c r="M29" s="90">
        <f>(AD51/AD41)-1</f>
        <v>-0.4162481834029156</v>
      </c>
      <c r="N29" s="68"/>
      <c r="O29" s="90">
        <f>(AD52/AD42)-1</f>
        <v>-0.4366226428896346</v>
      </c>
      <c r="P29" s="75" t="s">
        <v>137</v>
      </c>
      <c r="Q29" s="42"/>
      <c r="AQ29" s="1" t="s">
        <v>34</v>
      </c>
      <c r="AR29" s="3">
        <v>0.2197</v>
      </c>
      <c r="AS29" s="3">
        <v>0.32871575633345035</v>
      </c>
      <c r="AT29" s="3">
        <v>0.7779956900017692</v>
      </c>
    </row>
    <row r="30" spans="1:46" ht="12.75">
      <c r="A30" s="78"/>
      <c r="B30" s="77" t="s">
        <v>41</v>
      </c>
      <c r="C30" s="86">
        <f>J109</f>
        <v>1.0306782253916789</v>
      </c>
      <c r="D30" s="67"/>
      <c r="E30" s="90">
        <f>(AE47/AE37)-1</f>
        <v>-0.0031966007970851695</v>
      </c>
      <c r="F30" s="89"/>
      <c r="G30" s="90">
        <f>(AE48/AE38)-1</f>
        <v>0.18423893386022572</v>
      </c>
      <c r="H30" s="89"/>
      <c r="I30" s="90">
        <f>(AE49/AE39)-1</f>
        <v>-0.04082603233889792</v>
      </c>
      <c r="J30" s="89"/>
      <c r="K30" s="90">
        <f>(AE50/AE40)-1</f>
        <v>0.08124317093219635</v>
      </c>
      <c r="L30" s="89"/>
      <c r="M30" s="90">
        <f>(AE51/AE41)-1</f>
        <v>0.29837811922296864</v>
      </c>
      <c r="N30" s="68"/>
      <c r="O30" s="90">
        <f>(AE52/AE42)-1</f>
        <v>-0.0024377133216166857</v>
      </c>
      <c r="P30" s="75" t="s">
        <v>138</v>
      </c>
      <c r="Q30" s="42"/>
      <c r="AQ30" s="1" t="s">
        <v>35</v>
      </c>
      <c r="AR30" s="3">
        <v>0.32706015735788474</v>
      </c>
      <c r="AS30" s="3">
        <v>0.1576</v>
      </c>
      <c r="AT30" s="3">
        <v>0.2933</v>
      </c>
    </row>
    <row r="31" spans="1:46" ht="12.75">
      <c r="A31" s="78"/>
      <c r="B31" s="71" t="s">
        <v>42</v>
      </c>
      <c r="C31" s="87">
        <f>K109</f>
        <v>1.0303262349580466</v>
      </c>
      <c r="D31" s="69"/>
      <c r="E31" s="91">
        <f>(AF47-AF37)/60</f>
        <v>0.0024754149988021426</v>
      </c>
      <c r="F31" s="92"/>
      <c r="G31" s="91">
        <f>(AF48-AF38)/60</f>
        <v>0.08224395921494623</v>
      </c>
      <c r="H31" s="92"/>
      <c r="I31" s="91">
        <f>(AF49-AF39)/60</f>
        <v>-0.03629485020073275</v>
      </c>
      <c r="J31" s="92"/>
      <c r="K31" s="91">
        <f>(AF50-AF40)/60</f>
        <v>-0.06486406496984405</v>
      </c>
      <c r="L31" s="92"/>
      <c r="M31" s="91">
        <f>(AF51-AF41)/60</f>
        <v>0.01837948567709873</v>
      </c>
      <c r="N31" s="70"/>
      <c r="O31" s="91">
        <f>(AF52-AF42)/60</f>
        <v>0.12216577280927368</v>
      </c>
      <c r="P31" s="76" t="s">
        <v>139</v>
      </c>
      <c r="Q31" s="42"/>
      <c r="AQ31" s="1" t="s">
        <v>36</v>
      </c>
      <c r="AR31">
        <v>0.3127</v>
      </c>
      <c r="AS31" s="3">
        <v>0.329</v>
      </c>
      <c r="AT31" s="4">
        <v>1</v>
      </c>
    </row>
    <row r="32" spans="1:46" ht="12.75">
      <c r="A32" s="42"/>
      <c r="B32" s="117" t="s">
        <v>36</v>
      </c>
      <c r="C32" s="117"/>
      <c r="D32" s="44"/>
      <c r="E32" s="42"/>
      <c r="F32" s="42"/>
      <c r="G32" s="42"/>
      <c r="H32" s="42"/>
      <c r="I32" s="43" t="s">
        <v>0</v>
      </c>
      <c r="J32" s="42"/>
      <c r="K32" s="49"/>
      <c r="L32" s="42"/>
      <c r="M32" s="42"/>
      <c r="N32" s="42"/>
      <c r="O32" s="42"/>
      <c r="P32" s="42"/>
      <c r="Q32" s="42"/>
      <c r="AQ32" s="1"/>
      <c r="AS32" s="3"/>
      <c r="AT32" s="4"/>
    </row>
    <row r="33" spans="1:43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AQ33" s="1" t="s">
        <v>87</v>
      </c>
    </row>
    <row r="34" spans="44:46" ht="12.75">
      <c r="AR34" s="2" t="s">
        <v>27</v>
      </c>
      <c r="AS34" s="2" t="s">
        <v>28</v>
      </c>
      <c r="AT34" s="2" t="s">
        <v>29</v>
      </c>
    </row>
    <row r="35" spans="2:46" ht="12.75" hidden="1">
      <c r="B35" s="1" t="s">
        <v>57</v>
      </c>
      <c r="AQ35" s="1" t="s">
        <v>30</v>
      </c>
      <c r="AR35" s="3">
        <v>0.68</v>
      </c>
      <c r="AS35" s="3">
        <v>0.32</v>
      </c>
      <c r="AT35" s="3">
        <v>0.2094916779127305</v>
      </c>
    </row>
    <row r="36" spans="3:46" ht="12.75" hidden="1">
      <c r="C36" s="2" t="s">
        <v>27</v>
      </c>
      <c r="D36" s="2" t="s">
        <v>28</v>
      </c>
      <c r="E36" s="2" t="s">
        <v>29</v>
      </c>
      <c r="F36" s="2" t="s">
        <v>52</v>
      </c>
      <c r="G36" s="2" t="s">
        <v>29</v>
      </c>
      <c r="H36" s="2" t="s">
        <v>53</v>
      </c>
      <c r="I36" s="2" t="s">
        <v>27</v>
      </c>
      <c r="J36" s="2" t="s">
        <v>28</v>
      </c>
      <c r="K36" s="2" t="s">
        <v>54</v>
      </c>
      <c r="L36" s="2" t="s">
        <v>58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63</v>
      </c>
      <c r="R36" s="2" t="s">
        <v>49</v>
      </c>
      <c r="S36" s="2" t="s">
        <v>55</v>
      </c>
      <c r="T36" s="2" t="s">
        <v>56</v>
      </c>
      <c r="U36" s="5" t="s">
        <v>64</v>
      </c>
      <c r="V36" s="2" t="s">
        <v>65</v>
      </c>
      <c r="W36" s="2" t="s">
        <v>66</v>
      </c>
      <c r="X36" s="2" t="s">
        <v>67</v>
      </c>
      <c r="Y36" s="2" t="s">
        <v>68</v>
      </c>
      <c r="Z36" s="2" t="s">
        <v>49</v>
      </c>
      <c r="AA36" s="2" t="s">
        <v>69</v>
      </c>
      <c r="AB36" s="2" t="s">
        <v>70</v>
      </c>
      <c r="AC36" s="2"/>
      <c r="AD36" s="2" t="s">
        <v>49</v>
      </c>
      <c r="AE36" s="2" t="s">
        <v>50</v>
      </c>
      <c r="AF36" s="2" t="s">
        <v>51</v>
      </c>
      <c r="AG36" s="2" t="s">
        <v>43</v>
      </c>
      <c r="AH36" s="2" t="s">
        <v>40</v>
      </c>
      <c r="AQ36" s="1" t="s">
        <v>31</v>
      </c>
      <c r="AR36" s="3">
        <v>0.265</v>
      </c>
      <c r="AS36" s="3">
        <v>0.69</v>
      </c>
      <c r="AT36" s="3">
        <v>0.7215952541610436</v>
      </c>
    </row>
    <row r="37" spans="2:46" ht="12.75" hidden="1">
      <c r="B37" s="5" t="s">
        <v>40</v>
      </c>
      <c r="C37" s="3">
        <f aca="true" t="shared" si="1" ref="C37:E43">B7</f>
        <v>0.64</v>
      </c>
      <c r="D37" s="3">
        <f t="shared" si="1"/>
        <v>0.33</v>
      </c>
      <c r="E37" s="3">
        <f t="shared" si="1"/>
        <v>0.2126</v>
      </c>
      <c r="F37" s="3">
        <f aca="true" t="shared" si="2" ref="F37:F44">(C37*E37)/D37</f>
        <v>0.4123151515151515</v>
      </c>
      <c r="G37" s="3">
        <f aca="true" t="shared" si="3" ref="G37:G44">E37</f>
        <v>0.2126</v>
      </c>
      <c r="H37" s="3">
        <f aca="true" t="shared" si="4" ref="H37:H44">((1-C37-D37)*E37)/D37</f>
        <v>0.019327272727272707</v>
      </c>
      <c r="I37" s="14">
        <f aca="true" t="shared" si="5" ref="I37:K44">F37/L37</f>
        <v>0.43380775455223813</v>
      </c>
      <c r="J37" s="14">
        <f t="shared" si="5"/>
        <v>0.2126</v>
      </c>
      <c r="K37" s="12">
        <f t="shared" si="5"/>
        <v>0.017746784056022105</v>
      </c>
      <c r="L37" s="13">
        <f>$F$43</f>
        <v>0.9504559270516716</v>
      </c>
      <c r="M37" s="3">
        <v>1</v>
      </c>
      <c r="N37" s="3">
        <f>$H$43</f>
        <v>1.0890577507598784</v>
      </c>
      <c r="O37" s="14">
        <f aca="true" t="shared" si="6" ref="O37:Q44">IF(I37&gt;0.008856,I37^(1/3),((903.3*I37)+16)/116)</f>
        <v>0.7570056199269241</v>
      </c>
      <c r="P37" s="14">
        <f t="shared" si="6"/>
        <v>0.5968351878089867</v>
      </c>
      <c r="Q37" s="14">
        <f t="shared" si="6"/>
        <v>0.26083941745391553</v>
      </c>
      <c r="R37" s="12">
        <f aca="true" t="shared" si="7" ref="R37:R42">116*P37-16</f>
        <v>53.23288178584245</v>
      </c>
      <c r="S37" s="12">
        <f aca="true" t="shared" si="8" ref="S37:S42">500*(O37-P37)</f>
        <v>80.08521605896868</v>
      </c>
      <c r="T37" s="12">
        <f aca="true" t="shared" si="9" ref="T37:T42">200*(P37-Q37)</f>
        <v>67.19915407101423</v>
      </c>
      <c r="U37" s="3">
        <f>G37/M37</f>
        <v>0.2126</v>
      </c>
      <c r="V37" s="3">
        <f>(4*L37)/(L37+15*M37+3*N37)</f>
        <v>0.19783000664283681</v>
      </c>
      <c r="W37" s="3">
        <f>(9*M37)/(L37+15*M37+3*N37)</f>
        <v>0.46831999493879106</v>
      </c>
      <c r="X37" s="3">
        <f>(F37*4)/(F37+15*G37+3*H37)</f>
        <v>0.4507042253521127</v>
      </c>
      <c r="Y37" s="3">
        <f>(9*G37)/(F37+15*G37+3*H37)</f>
        <v>0.522887323943662</v>
      </c>
      <c r="Z37" s="59">
        <f>IF(U37&gt;0.008856,116*(G37)^(1/3)-16,903.3*U37)</f>
        <v>53.23288178584245</v>
      </c>
      <c r="AA37" s="60">
        <f>(13*Z37)*(X37-V37)</f>
        <v>174.99590408609598</v>
      </c>
      <c r="AB37" s="61">
        <f>(13*Z37)*(Y37-W37)</f>
        <v>37.762090265711066</v>
      </c>
      <c r="AC37" s="4"/>
      <c r="AD37" s="62">
        <f aca="true" t="shared" si="10" ref="AD37:AD42">Z37</f>
        <v>53.23288178584245</v>
      </c>
      <c r="AE37" s="62">
        <f aca="true" t="shared" si="11" ref="AE37:AE42">AG37/AD37</f>
        <v>3.3630315038892182</v>
      </c>
      <c r="AF37" s="62">
        <f aca="true" t="shared" si="12" ref="AF37:AF42">IF(AH37&gt;0,DEGREES(AH37),DEGREES(AH37)+360)</f>
        <v>12.17705063006115</v>
      </c>
      <c r="AG37" s="3">
        <f aca="true" t="shared" si="13" ref="AG37:AG42">SQRT(AA37^2+AB37^2)</f>
        <v>179.0238584885987</v>
      </c>
      <c r="AH37" s="3">
        <f aca="true" t="shared" si="14" ref="AH37:AH42">ATAN2(AA37,AB37)</f>
        <v>0.21252962667661704</v>
      </c>
      <c r="AI37" s="1" t="s">
        <v>40</v>
      </c>
      <c r="AQ37" s="1" t="s">
        <v>32</v>
      </c>
      <c r="AR37" s="3">
        <v>0.15</v>
      </c>
      <c r="AS37" s="3">
        <v>0.06</v>
      </c>
      <c r="AT37" s="3">
        <v>0.0689130679262258</v>
      </c>
    </row>
    <row r="38" spans="2:46" ht="12.75" hidden="1">
      <c r="B38" s="5" t="s">
        <v>41</v>
      </c>
      <c r="C38" s="3">
        <f t="shared" si="1"/>
        <v>0.3</v>
      </c>
      <c r="D38" s="3">
        <f t="shared" si="1"/>
        <v>0.6</v>
      </c>
      <c r="E38" s="3">
        <f t="shared" si="1"/>
        <v>0.7152</v>
      </c>
      <c r="F38" s="3">
        <f t="shared" si="2"/>
        <v>0.3576</v>
      </c>
      <c r="G38" s="3">
        <f t="shared" si="3"/>
        <v>0.7152</v>
      </c>
      <c r="H38" s="3">
        <f t="shared" si="4"/>
        <v>0.11919999999999996</v>
      </c>
      <c r="I38" s="14">
        <f t="shared" si="5"/>
        <v>0.37624048608890315</v>
      </c>
      <c r="J38" s="14">
        <f t="shared" si="5"/>
        <v>0.7152</v>
      </c>
      <c r="K38" s="12">
        <f t="shared" si="5"/>
        <v>0.10945241417806303</v>
      </c>
      <c r="L38" s="13">
        <f aca="true" t="shared" si="15" ref="L38:L44">$F$43</f>
        <v>0.9504559270516716</v>
      </c>
      <c r="M38" s="3">
        <v>1</v>
      </c>
      <c r="N38" s="3">
        <f aca="true" t="shared" si="16" ref="N38:N44">$H$43</f>
        <v>1.0890577507598784</v>
      </c>
      <c r="O38" s="14">
        <f t="shared" si="6"/>
        <v>0.7219190613304965</v>
      </c>
      <c r="P38" s="14">
        <f t="shared" si="6"/>
        <v>0.894284771323657</v>
      </c>
      <c r="Q38" s="14">
        <f t="shared" si="6"/>
        <v>0.4783455980326752</v>
      </c>
      <c r="R38" s="12">
        <f t="shared" si="7"/>
        <v>87.73703347354422</v>
      </c>
      <c r="S38" s="12">
        <f t="shared" si="8"/>
        <v>-86.18285499658023</v>
      </c>
      <c r="T38" s="12">
        <f t="shared" si="9"/>
        <v>83.18783465819637</v>
      </c>
      <c r="U38" s="3">
        <f aca="true" t="shared" si="17" ref="U38:U44">G38/M38</f>
        <v>0.7152</v>
      </c>
      <c r="V38" s="3">
        <f aca="true" t="shared" si="18" ref="V38:V44">(4*L38)/(L38+15*M38+3*N38)</f>
        <v>0.19783000664283681</v>
      </c>
      <c r="W38" s="3">
        <f aca="true" t="shared" si="19" ref="W38:W44">(9*M38)/(L38+15*M38+3*N38)</f>
        <v>0.46831999493879106</v>
      </c>
      <c r="X38" s="3">
        <f aca="true" t="shared" si="20" ref="X38:X44">(F38*4)/(F38+15*G38+3*H38)</f>
        <v>0.125</v>
      </c>
      <c r="Y38" s="3">
        <f aca="true" t="shared" si="21" ref="Y38:Y44">(9*G38)/(F38+15*G38+3*H38)</f>
        <v>0.5625</v>
      </c>
      <c r="Z38" s="59">
        <f aca="true" t="shared" si="22" ref="Z38:Z44">IF(U38&gt;0.008856,116*(G38)^(1/3)-16,903.3*U38)</f>
        <v>87.73703347354422</v>
      </c>
      <c r="AA38" s="60">
        <f aca="true" t="shared" si="23" ref="AA38:AA44">(13*Z38)*(X38-V38)</f>
        <v>-83.06855349911328</v>
      </c>
      <c r="AB38" s="61">
        <f aca="true" t="shared" si="24" ref="AB38:AB44">(13*Z38)*(Y38-W38)</f>
        <v>107.41996533572008</v>
      </c>
      <c r="AC38" s="4"/>
      <c r="AD38" s="62">
        <f t="shared" si="10"/>
        <v>87.73703347354422</v>
      </c>
      <c r="AE38" s="62">
        <f t="shared" si="11"/>
        <v>1.547714464730599</v>
      </c>
      <c r="AF38" s="62">
        <f t="shared" si="12"/>
        <v>127.71501294924308</v>
      </c>
      <c r="AG38" s="3">
        <f t="shared" si="13"/>
        <v>135.79187579955712</v>
      </c>
      <c r="AH38" s="3">
        <f t="shared" si="14"/>
        <v>2.2290474801914852</v>
      </c>
      <c r="AI38" s="1" t="s">
        <v>41</v>
      </c>
      <c r="AQ38" s="1" t="s">
        <v>33</v>
      </c>
      <c r="AR38" s="3">
        <v>0.42478</v>
      </c>
      <c r="AS38" s="3">
        <v>0.5476</v>
      </c>
      <c r="AT38" s="3">
        <v>0.9311</v>
      </c>
    </row>
    <row r="39" spans="2:46" ht="12.75" hidden="1">
      <c r="B39" s="5" t="s">
        <v>42</v>
      </c>
      <c r="C39" s="3">
        <f t="shared" si="1"/>
        <v>0.15</v>
      </c>
      <c r="D39" s="3">
        <f t="shared" si="1"/>
        <v>0.06</v>
      </c>
      <c r="E39" s="3">
        <f t="shared" si="1"/>
        <v>0.0722</v>
      </c>
      <c r="F39" s="3">
        <f t="shared" si="2"/>
        <v>0.1805</v>
      </c>
      <c r="G39" s="3">
        <f t="shared" si="3"/>
        <v>0.0722</v>
      </c>
      <c r="H39" s="3">
        <f t="shared" si="4"/>
        <v>0.9506333333333334</v>
      </c>
      <c r="I39" s="14">
        <f t="shared" si="5"/>
        <v>0.1899088583306684</v>
      </c>
      <c r="J39" s="14">
        <f t="shared" si="5"/>
        <v>0.0722</v>
      </c>
      <c r="K39" s="12">
        <f t="shared" si="5"/>
        <v>0.8728952460694019</v>
      </c>
      <c r="L39" s="13">
        <f t="shared" si="15"/>
        <v>0.9504559270516716</v>
      </c>
      <c r="M39" s="3">
        <v>1</v>
      </c>
      <c r="N39" s="3">
        <f t="shared" si="16"/>
        <v>1.0890577507598784</v>
      </c>
      <c r="O39" s="14">
        <f t="shared" si="6"/>
        <v>0.5747977696699993</v>
      </c>
      <c r="P39" s="14">
        <f t="shared" si="6"/>
        <v>0.41640160920042657</v>
      </c>
      <c r="Q39" s="14">
        <f t="shared" si="6"/>
        <v>0.9556980709979792</v>
      </c>
      <c r="R39" s="12">
        <f t="shared" si="7"/>
        <v>32.302586667249486</v>
      </c>
      <c r="S39" s="12">
        <f t="shared" si="8"/>
        <v>79.19808023478636</v>
      </c>
      <c r="T39" s="12">
        <f t="shared" si="9"/>
        <v>-107.85929235951053</v>
      </c>
      <c r="U39" s="3">
        <f t="shared" si="17"/>
        <v>0.0722</v>
      </c>
      <c r="V39" s="3">
        <f t="shared" si="18"/>
        <v>0.19783000664283681</v>
      </c>
      <c r="W39" s="3">
        <f t="shared" si="19"/>
        <v>0.46831999493879106</v>
      </c>
      <c r="X39" s="3">
        <f t="shared" si="20"/>
        <v>0.17543859649122803</v>
      </c>
      <c r="Y39" s="3">
        <f t="shared" si="21"/>
        <v>0.15789473684210523</v>
      </c>
      <c r="Z39" s="59">
        <f t="shared" si="22"/>
        <v>32.302586667249486</v>
      </c>
      <c r="AA39" s="60">
        <f t="shared" si="23"/>
        <v>-9.402906071315543</v>
      </c>
      <c r="AB39" s="61">
        <f t="shared" si="24"/>
        <v>-130.35800444382932</v>
      </c>
      <c r="AC39" s="4"/>
      <c r="AD39" s="62">
        <f t="shared" si="10"/>
        <v>32.302586667249486</v>
      </c>
      <c r="AE39" s="62">
        <f t="shared" si="11"/>
        <v>4.046013040400661</v>
      </c>
      <c r="AF39" s="62">
        <f t="shared" si="12"/>
        <v>265.87432021817733</v>
      </c>
      <c r="AG39" s="3">
        <f t="shared" si="13"/>
        <v>130.69668689436395</v>
      </c>
      <c r="AH39" s="3">
        <f t="shared" si="14"/>
        <v>-1.6428030228706636</v>
      </c>
      <c r="AI39" s="1" t="s">
        <v>42</v>
      </c>
      <c r="AQ39" s="1" t="s">
        <v>34</v>
      </c>
      <c r="AR39" s="3">
        <v>0.2048</v>
      </c>
      <c r="AS39" s="3">
        <v>0.3602</v>
      </c>
      <c r="AT39" s="3">
        <v>0.7905</v>
      </c>
    </row>
    <row r="40" spans="2:46" ht="12.75" hidden="1">
      <c r="B40" s="5" t="s">
        <v>29</v>
      </c>
      <c r="C40" s="3">
        <f t="shared" si="1"/>
        <v>0.4193</v>
      </c>
      <c r="D40" s="3">
        <f t="shared" si="1"/>
        <v>0.5053</v>
      </c>
      <c r="E40" s="3">
        <f t="shared" si="1"/>
        <v>0.9278</v>
      </c>
      <c r="F40" s="3">
        <f t="shared" si="2"/>
        <v>0.7698922224421136</v>
      </c>
      <c r="G40" s="3">
        <f t="shared" si="3"/>
        <v>0.9278</v>
      </c>
      <c r="H40" s="3">
        <f t="shared" si="4"/>
        <v>0.1384447259054028</v>
      </c>
      <c r="I40" s="14">
        <f t="shared" si="5"/>
        <v>0.8100241163525917</v>
      </c>
      <c r="J40" s="14">
        <f t="shared" si="5"/>
        <v>0.9278</v>
      </c>
      <c r="K40" s="12">
        <f t="shared" si="5"/>
        <v>0.1271234016826054</v>
      </c>
      <c r="L40" s="13">
        <f t="shared" si="15"/>
        <v>0.9504559270516716</v>
      </c>
      <c r="M40" s="3">
        <v>1</v>
      </c>
      <c r="N40" s="3">
        <f t="shared" si="16"/>
        <v>1.0890577507598784</v>
      </c>
      <c r="O40" s="14">
        <f t="shared" si="6"/>
        <v>0.932179002943074</v>
      </c>
      <c r="P40" s="14">
        <f t="shared" si="6"/>
        <v>0.9753297153560111</v>
      </c>
      <c r="Q40" s="14">
        <f t="shared" si="6"/>
        <v>0.5028153204327797</v>
      </c>
      <c r="R40" s="12">
        <f t="shared" si="7"/>
        <v>97.13824698129729</v>
      </c>
      <c r="S40" s="12">
        <f t="shared" si="8"/>
        <v>-21.575356206468555</v>
      </c>
      <c r="T40" s="12">
        <f t="shared" si="9"/>
        <v>94.50287898464629</v>
      </c>
      <c r="U40" s="3">
        <f t="shared" si="17"/>
        <v>0.9278</v>
      </c>
      <c r="V40" s="3">
        <f t="shared" si="18"/>
        <v>0.19783000664283681</v>
      </c>
      <c r="W40" s="3">
        <f t="shared" si="19"/>
        <v>0.46831999493879106</v>
      </c>
      <c r="X40" s="3">
        <f t="shared" si="20"/>
        <v>0.2039148936170213</v>
      </c>
      <c r="Y40" s="3">
        <f t="shared" si="21"/>
        <v>0.5529118541033434</v>
      </c>
      <c r="Z40" s="59">
        <f t="shared" si="22"/>
        <v>97.13824698129729</v>
      </c>
      <c r="AA40" s="60">
        <f t="shared" si="23"/>
        <v>7.683978298770957</v>
      </c>
      <c r="AB40" s="61">
        <f t="shared" si="24"/>
        <v>106.82236380573424</v>
      </c>
      <c r="AC40" s="4"/>
      <c r="AD40" s="62">
        <f t="shared" si="10"/>
        <v>97.13824698129729</v>
      </c>
      <c r="AE40" s="62">
        <f t="shared" si="11"/>
        <v>1.102535547817977</v>
      </c>
      <c r="AF40" s="62">
        <f t="shared" si="12"/>
        <v>85.885669245671</v>
      </c>
      <c r="AG40" s="3">
        <f t="shared" si="13"/>
        <v>107.09837034960255</v>
      </c>
      <c r="AH40" s="3">
        <f t="shared" si="14"/>
        <v>1.4989877086157934</v>
      </c>
      <c r="AI40" s="1" t="s">
        <v>29</v>
      </c>
      <c r="AQ40" s="1" t="s">
        <v>35</v>
      </c>
      <c r="AR40" s="3">
        <v>0.3424</v>
      </c>
      <c r="AS40" s="3">
        <v>0.1544</v>
      </c>
      <c r="AT40" s="3">
        <v>0.2784</v>
      </c>
    </row>
    <row r="41" spans="2:46" ht="12.75" hidden="1">
      <c r="B41" s="5" t="s">
        <v>43</v>
      </c>
      <c r="C41" s="3">
        <f t="shared" si="1"/>
        <v>0.2246</v>
      </c>
      <c r="D41" s="3">
        <f t="shared" si="1"/>
        <v>0.3287</v>
      </c>
      <c r="E41" s="3">
        <f t="shared" si="1"/>
        <v>0.7874</v>
      </c>
      <c r="F41" s="3">
        <f t="shared" si="2"/>
        <v>0.538028719196836</v>
      </c>
      <c r="G41" s="3">
        <f t="shared" si="3"/>
        <v>0.7874</v>
      </c>
      <c r="H41" s="3">
        <f t="shared" si="4"/>
        <v>1.0700686948585336</v>
      </c>
      <c r="I41" s="14">
        <f t="shared" si="5"/>
        <v>0.5660743479877169</v>
      </c>
      <c r="J41" s="14">
        <f t="shared" si="5"/>
        <v>0.7874</v>
      </c>
      <c r="K41" s="12">
        <f t="shared" si="5"/>
        <v>0.9825637750724464</v>
      </c>
      <c r="L41" s="13">
        <f t="shared" si="15"/>
        <v>0.9504559270516716</v>
      </c>
      <c r="M41" s="3">
        <v>1</v>
      </c>
      <c r="N41" s="3">
        <f t="shared" si="16"/>
        <v>1.0890577507598784</v>
      </c>
      <c r="O41" s="14">
        <f t="shared" si="6"/>
        <v>0.8272266012901605</v>
      </c>
      <c r="P41" s="14">
        <f t="shared" si="6"/>
        <v>0.9234182854264088</v>
      </c>
      <c r="Q41" s="14">
        <f t="shared" si="6"/>
        <v>0.9941538137337335</v>
      </c>
      <c r="R41" s="12">
        <f t="shared" si="7"/>
        <v>91.11652110946342</v>
      </c>
      <c r="S41" s="12">
        <f t="shared" si="8"/>
        <v>-48.09584206812417</v>
      </c>
      <c r="T41" s="12">
        <f t="shared" si="9"/>
        <v>-14.14710566146493</v>
      </c>
      <c r="U41" s="3">
        <f t="shared" si="17"/>
        <v>0.7874</v>
      </c>
      <c r="V41" s="3">
        <f t="shared" si="18"/>
        <v>0.19783000664283681</v>
      </c>
      <c r="W41" s="3">
        <f t="shared" si="19"/>
        <v>0.46831999493879106</v>
      </c>
      <c r="X41" s="3">
        <f t="shared" si="20"/>
        <v>0.13831752678901343</v>
      </c>
      <c r="Y41" s="3">
        <f t="shared" si="21"/>
        <v>0.4554594161842591</v>
      </c>
      <c r="Z41" s="59">
        <f t="shared" si="22"/>
        <v>91.11652110946342</v>
      </c>
      <c r="AA41" s="60">
        <f t="shared" si="23"/>
        <v>-70.49341164940638</v>
      </c>
      <c r="AB41" s="61">
        <f t="shared" si="24"/>
        <v>-15.233545542373951</v>
      </c>
      <c r="AC41" s="4"/>
      <c r="AD41" s="62">
        <f t="shared" si="10"/>
        <v>91.11652110946342</v>
      </c>
      <c r="AE41" s="62">
        <f t="shared" si="11"/>
        <v>0.7915206420421387</v>
      </c>
      <c r="AF41" s="62">
        <f t="shared" si="12"/>
        <v>192.19404458698375</v>
      </c>
      <c r="AG41" s="3">
        <f t="shared" si="13"/>
        <v>72.12060728920856</v>
      </c>
      <c r="AH41" s="3">
        <f t="shared" si="14"/>
        <v>-2.9287664264119346</v>
      </c>
      <c r="AI41" s="1" t="s">
        <v>43</v>
      </c>
      <c r="AQ41" s="1" t="s">
        <v>36</v>
      </c>
      <c r="AR41" s="3">
        <v>0.314</v>
      </c>
      <c r="AS41" s="3">
        <v>0.351</v>
      </c>
      <c r="AT41" s="3">
        <v>1</v>
      </c>
    </row>
    <row r="42" spans="2:35" ht="12.75" hidden="1">
      <c r="B42" s="5" t="s">
        <v>44</v>
      </c>
      <c r="C42" s="3">
        <f t="shared" si="1"/>
        <v>0.3209</v>
      </c>
      <c r="D42" s="3">
        <f t="shared" si="1"/>
        <v>0.1542</v>
      </c>
      <c r="E42" s="3">
        <f t="shared" si="1"/>
        <v>0.2848</v>
      </c>
      <c r="F42" s="3">
        <f t="shared" si="2"/>
        <v>0.5926869001297017</v>
      </c>
      <c r="G42" s="3">
        <f t="shared" si="3"/>
        <v>0.2848</v>
      </c>
      <c r="H42" s="3">
        <f t="shared" si="4"/>
        <v>0.9694651102464333</v>
      </c>
      <c r="I42" s="14">
        <f t="shared" si="5"/>
        <v>0.6235816761837925</v>
      </c>
      <c r="J42" s="14">
        <f t="shared" si="5"/>
        <v>0.2848</v>
      </c>
      <c r="K42" s="12">
        <f t="shared" si="5"/>
        <v>0.8901870535056561</v>
      </c>
      <c r="L42" s="13">
        <f t="shared" si="15"/>
        <v>0.9504559270516716</v>
      </c>
      <c r="M42" s="3">
        <v>1</v>
      </c>
      <c r="N42" s="3">
        <f t="shared" si="16"/>
        <v>1.0890577507598784</v>
      </c>
      <c r="O42" s="14">
        <f t="shared" si="6"/>
        <v>0.8543407369333207</v>
      </c>
      <c r="P42" s="14">
        <f t="shared" si="6"/>
        <v>0.6579304626213448</v>
      </c>
      <c r="Q42" s="14">
        <f t="shared" si="6"/>
        <v>0.961967555201503</v>
      </c>
      <c r="R42" s="12">
        <f t="shared" si="7"/>
        <v>60.319933664076004</v>
      </c>
      <c r="S42" s="12">
        <f t="shared" si="8"/>
        <v>98.20513715598794</v>
      </c>
      <c r="T42" s="12">
        <f t="shared" si="9"/>
        <v>-60.80741851603164</v>
      </c>
      <c r="U42" s="3">
        <f t="shared" si="17"/>
        <v>0.2848</v>
      </c>
      <c r="V42" s="3">
        <f t="shared" si="18"/>
        <v>0.19783000664283681</v>
      </c>
      <c r="W42" s="3">
        <f t="shared" si="19"/>
        <v>0.46831999493879106</v>
      </c>
      <c r="X42" s="3">
        <f t="shared" si="20"/>
        <v>0.30499453499976237</v>
      </c>
      <c r="Y42" s="3">
        <f t="shared" si="21"/>
        <v>0.3297533621631896</v>
      </c>
      <c r="Z42" s="59">
        <f t="shared" si="22"/>
        <v>60.319933664076004</v>
      </c>
      <c r="AA42" s="60">
        <f t="shared" si="23"/>
        <v>84.03404414121263</v>
      </c>
      <c r="AB42" s="61">
        <f t="shared" si="24"/>
        <v>-108.65829126202256</v>
      </c>
      <c r="AC42" s="4"/>
      <c r="AD42" s="62">
        <f t="shared" si="10"/>
        <v>60.319933664076004</v>
      </c>
      <c r="AE42" s="62">
        <f t="shared" si="11"/>
        <v>2.277225546094959</v>
      </c>
      <c r="AF42" s="62">
        <f t="shared" si="12"/>
        <v>307.717614783524</v>
      </c>
      <c r="AG42" s="3">
        <f t="shared" si="13"/>
        <v>137.3620938785872</v>
      </c>
      <c r="AH42" s="3">
        <f t="shared" si="14"/>
        <v>-0.9124997628235141</v>
      </c>
      <c r="AI42" s="1" t="s">
        <v>44</v>
      </c>
    </row>
    <row r="43" spans="2:34" ht="12.75" hidden="1">
      <c r="B43" s="5" t="s">
        <v>45</v>
      </c>
      <c r="C43" s="3">
        <f t="shared" si="1"/>
        <v>0.3127</v>
      </c>
      <c r="D43" s="3">
        <f t="shared" si="1"/>
        <v>0.329</v>
      </c>
      <c r="E43" s="3">
        <f t="shared" si="1"/>
        <v>1</v>
      </c>
      <c r="F43" s="3">
        <f t="shared" si="2"/>
        <v>0.9504559270516716</v>
      </c>
      <c r="G43" s="3">
        <f t="shared" si="3"/>
        <v>1</v>
      </c>
      <c r="H43" s="3">
        <f t="shared" si="4"/>
        <v>1.0890577507598784</v>
      </c>
      <c r="I43" s="14">
        <f t="shared" si="5"/>
        <v>1</v>
      </c>
      <c r="J43" s="14">
        <f t="shared" si="5"/>
        <v>1</v>
      </c>
      <c r="K43" s="12">
        <f t="shared" si="5"/>
        <v>1</v>
      </c>
      <c r="L43" s="13">
        <f t="shared" si="15"/>
        <v>0.9504559270516716</v>
      </c>
      <c r="M43" s="3">
        <v>1</v>
      </c>
      <c r="N43" s="3">
        <f t="shared" si="16"/>
        <v>1.0890577507598784</v>
      </c>
      <c r="O43" s="14">
        <f>IF(I43&gt;0.008856,I43^(1/3),((903.3*I43)+16)/116)</f>
        <v>1</v>
      </c>
      <c r="P43" s="14">
        <f>IF(J43&gt;0.008856,J43^(1/3),((903.3*J43)+16)/116)</f>
        <v>1</v>
      </c>
      <c r="Q43" s="14">
        <f t="shared" si="6"/>
        <v>1</v>
      </c>
      <c r="R43" s="15">
        <f>116*P43-16</f>
        <v>100</v>
      </c>
      <c r="S43" s="12">
        <f>500*(O43-P43)</f>
        <v>0</v>
      </c>
      <c r="T43" s="12">
        <f>200*(P43-Q43)</f>
        <v>0</v>
      </c>
      <c r="U43" s="3">
        <f t="shared" si="17"/>
        <v>1</v>
      </c>
      <c r="V43" s="3">
        <f t="shared" si="18"/>
        <v>0.19783000664283681</v>
      </c>
      <c r="W43" s="3">
        <f t="shared" si="19"/>
        <v>0.46831999493879106</v>
      </c>
      <c r="X43" s="3">
        <f t="shared" si="20"/>
        <v>0.19783000664283681</v>
      </c>
      <c r="Y43" s="3">
        <f t="shared" si="21"/>
        <v>0.46831999493879106</v>
      </c>
      <c r="Z43" s="59">
        <f t="shared" si="22"/>
        <v>100</v>
      </c>
      <c r="AA43" s="60">
        <f t="shared" si="23"/>
        <v>0</v>
      </c>
      <c r="AB43" s="61">
        <f t="shared" si="24"/>
        <v>0</v>
      </c>
      <c r="AD43" s="62">
        <f>Z43</f>
        <v>100</v>
      </c>
      <c r="AE43" s="62">
        <f>AG43/AD43</f>
        <v>0</v>
      </c>
      <c r="AF43" s="62" t="e">
        <f>IF(AH43&gt;0,DEGREES(AH43),DEGREES(AH43)+360)</f>
        <v>#DIV/0!</v>
      </c>
      <c r="AG43" s="3">
        <f>SQRT(AA43^2+AB43^2)</f>
        <v>0</v>
      </c>
      <c r="AH43" s="3" t="e">
        <f>ATAN2(AA43,AB43)</f>
        <v>#DIV/0!</v>
      </c>
    </row>
    <row r="44" spans="2:34" ht="12.75" hidden="1">
      <c r="B44" s="5" t="s">
        <v>3</v>
      </c>
      <c r="C44" s="3">
        <f>G10</f>
        <v>0.64</v>
      </c>
      <c r="D44" s="3">
        <f>+G11</f>
        <v>0.33</v>
      </c>
      <c r="E44" s="3">
        <f>G12</f>
        <v>0.2126</v>
      </c>
      <c r="F44" s="3">
        <f t="shared" si="2"/>
        <v>0.4123151515151515</v>
      </c>
      <c r="G44" s="3">
        <f t="shared" si="3"/>
        <v>0.2126</v>
      </c>
      <c r="H44" s="3">
        <f t="shared" si="4"/>
        <v>0.019327272727272707</v>
      </c>
      <c r="I44" s="14">
        <f t="shared" si="5"/>
        <v>0.43380775455223813</v>
      </c>
      <c r="J44" s="14">
        <f t="shared" si="5"/>
        <v>0.2126</v>
      </c>
      <c r="K44" s="12">
        <f t="shared" si="5"/>
        <v>0.017746784056022105</v>
      </c>
      <c r="L44" s="13">
        <f t="shared" si="15"/>
        <v>0.9504559270516716</v>
      </c>
      <c r="M44" s="3">
        <v>1</v>
      </c>
      <c r="N44" s="3">
        <f t="shared" si="16"/>
        <v>1.0890577507598784</v>
      </c>
      <c r="O44" s="14">
        <f>IF(I44&gt;0.008856,I44^(1/3),((903.3*I44)+16)/116)</f>
        <v>0.7570056199269241</v>
      </c>
      <c r="P44" s="14">
        <f>IF(J44&gt;0.008856,J44^(1/3),((903.3*J44)+16)/116)</f>
        <v>0.5968351878089867</v>
      </c>
      <c r="Q44" s="14">
        <f t="shared" si="6"/>
        <v>0.26083941745391553</v>
      </c>
      <c r="R44" s="12">
        <f>116*P44-16</f>
        <v>53.23288178584245</v>
      </c>
      <c r="S44" s="12">
        <f>500*(O44-P44)</f>
        <v>80.08521605896868</v>
      </c>
      <c r="T44" s="12">
        <f>200*(P44-Q44)</f>
        <v>67.19915407101423</v>
      </c>
      <c r="U44" s="3">
        <f t="shared" si="17"/>
        <v>0.2126</v>
      </c>
      <c r="V44" s="3">
        <f t="shared" si="18"/>
        <v>0.19783000664283681</v>
      </c>
      <c r="W44" s="3">
        <f t="shared" si="19"/>
        <v>0.46831999493879106</v>
      </c>
      <c r="X44" s="3">
        <f t="shared" si="20"/>
        <v>0.4507042253521127</v>
      </c>
      <c r="Y44" s="3">
        <f t="shared" si="21"/>
        <v>0.522887323943662</v>
      </c>
      <c r="Z44" s="59">
        <f t="shared" si="22"/>
        <v>53.23288178584245</v>
      </c>
      <c r="AA44" s="60">
        <f t="shared" si="23"/>
        <v>174.99590408609598</v>
      </c>
      <c r="AB44" s="61">
        <f t="shared" si="24"/>
        <v>37.762090265711066</v>
      </c>
      <c r="AD44" s="62">
        <f>Z44</f>
        <v>53.23288178584245</v>
      </c>
      <c r="AE44" s="62">
        <f>AG44/AD44</f>
        <v>3.3630315038892182</v>
      </c>
      <c r="AF44" s="62">
        <f>IF(AH44&gt;0,DEGREES(AH44),DEGREES(AH44)+360)</f>
        <v>12.17705063006115</v>
      </c>
      <c r="AG44" s="3">
        <f>SQRT(AA44^2+AB44^2)</f>
        <v>179.0238584885987</v>
      </c>
      <c r="AH44" s="3">
        <f>ATAN2(AA44,AB44)</f>
        <v>0.21252962667661704</v>
      </c>
    </row>
    <row r="45" ht="12.75" hidden="1">
      <c r="B45" s="16" t="s">
        <v>71</v>
      </c>
    </row>
    <row r="46" spans="3:40" ht="12.75" hidden="1">
      <c r="C46" s="2" t="s">
        <v>27</v>
      </c>
      <c r="D46" s="2" t="s">
        <v>28</v>
      </c>
      <c r="E46" s="2" t="s">
        <v>29</v>
      </c>
      <c r="F46" s="2" t="s">
        <v>52</v>
      </c>
      <c r="G46" s="2" t="s">
        <v>29</v>
      </c>
      <c r="H46" s="2" t="s">
        <v>53</v>
      </c>
      <c r="I46" s="2" t="s">
        <v>27</v>
      </c>
      <c r="J46" s="2" t="s">
        <v>28</v>
      </c>
      <c r="K46" s="2" t="s">
        <v>54</v>
      </c>
      <c r="L46" s="2" t="s">
        <v>58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63</v>
      </c>
      <c r="R46" s="2" t="s">
        <v>49</v>
      </c>
      <c r="S46" s="2" t="s">
        <v>55</v>
      </c>
      <c r="T46" s="2" t="s">
        <v>56</v>
      </c>
      <c r="U46" s="5" t="s">
        <v>64</v>
      </c>
      <c r="V46" s="2" t="s">
        <v>65</v>
      </c>
      <c r="W46" s="2" t="s">
        <v>66</v>
      </c>
      <c r="X46" s="2" t="s">
        <v>67</v>
      </c>
      <c r="Y46" s="2" t="s">
        <v>68</v>
      </c>
      <c r="Z46" s="2" t="s">
        <v>49</v>
      </c>
      <c r="AA46" s="2" t="s">
        <v>69</v>
      </c>
      <c r="AB46" s="2" t="s">
        <v>70</v>
      </c>
      <c r="AD46" s="2" t="s">
        <v>49</v>
      </c>
      <c r="AE46" s="2" t="s">
        <v>50</v>
      </c>
      <c r="AF46" s="2" t="s">
        <v>51</v>
      </c>
      <c r="AG46" s="2" t="s">
        <v>43</v>
      </c>
      <c r="AH46" s="2" t="s">
        <v>40</v>
      </c>
      <c r="AN46" s="1"/>
    </row>
    <row r="47" spans="2:55" ht="12.75" hidden="1">
      <c r="B47" s="5" t="s">
        <v>40</v>
      </c>
      <c r="C47" s="3">
        <f>E17</f>
        <v>0.64</v>
      </c>
      <c r="D47" s="3">
        <f>E19</f>
        <v>0.331</v>
      </c>
      <c r="E47" s="3">
        <f>E21/C21</f>
        <v>0.2198</v>
      </c>
      <c r="F47" s="3">
        <f aca="true" t="shared" si="25" ref="F47:F53">(C47*E47)/D47</f>
        <v>0.4249909365558912</v>
      </c>
      <c r="G47" s="3">
        <f aca="true" t="shared" si="26" ref="G47:G53">E47</f>
        <v>0.2198</v>
      </c>
      <c r="H47" s="3">
        <f aca="true" t="shared" si="27" ref="H47:H53">((1-C47-D47)*E47)/D47</f>
        <v>0.0192574018126888</v>
      </c>
      <c r="I47" s="12">
        <f aca="true" t="shared" si="28" ref="I47:I53">F47/L47</f>
        <v>0.44714428566321784</v>
      </c>
      <c r="J47" s="12">
        <f aca="true" t="shared" si="29" ref="J47:J53">G47/M47</f>
        <v>0.2198</v>
      </c>
      <c r="K47" s="12">
        <f aca="true" t="shared" si="30" ref="K47:K53">H47/N47</f>
        <v>0.017682626838890915</v>
      </c>
      <c r="L47" s="13">
        <f>$F$43</f>
        <v>0.9504559270516716</v>
      </c>
      <c r="M47" s="3">
        <f>$E$43</f>
        <v>1</v>
      </c>
      <c r="N47" s="3">
        <f>$H$43</f>
        <v>1.0890577507598784</v>
      </c>
      <c r="O47" s="14">
        <f aca="true" t="shared" si="31" ref="O47:O52">IF(I47&gt;0.008856,I47^(1/3),((903.3*I47)+16)/116)</f>
        <v>0.7646849832394207</v>
      </c>
      <c r="P47" s="14">
        <f aca="true" t="shared" si="32" ref="P47:P52">IF(J47&gt;0.008856,J47^(1/3),((903.3*J47)+16)/116)</f>
        <v>0.6034980845586215</v>
      </c>
      <c r="Q47" s="14">
        <f aca="true" t="shared" si="33" ref="Q47:Q53">IF(K47&gt;0.008856,K47^(1/3),((903.3*K47)+16)/116)</f>
        <v>0.2605247137146359</v>
      </c>
      <c r="R47" s="12">
        <f aca="true" t="shared" si="34" ref="R47:R52">116*P47-16</f>
        <v>54.005777808800104</v>
      </c>
      <c r="S47" s="12">
        <f aca="true" t="shared" si="35" ref="S47:S52">500*(O47-P47)</f>
        <v>80.59344934039959</v>
      </c>
      <c r="T47" s="12">
        <f aca="true" t="shared" si="36" ref="T47:T52">200*(P47-Q47)</f>
        <v>68.59467416879713</v>
      </c>
      <c r="U47" s="3">
        <f>G47/M47</f>
        <v>0.2198</v>
      </c>
      <c r="V47" s="3">
        <f>(4*L47)/(L47+15*M47+3*N47)</f>
        <v>0.19783000664283681</v>
      </c>
      <c r="W47" s="3">
        <f>(9*M47)/(L47+15*M47+3*N47)</f>
        <v>0.46831999493879106</v>
      </c>
      <c r="X47" s="3">
        <f>(F47*4)/(F47+15*G47+3*H47)</f>
        <v>0.4497540407589599</v>
      </c>
      <c r="Y47" s="3">
        <f>(9*G47)/(F47+15*G47+3*H47)</f>
        <v>0.5233661278988053</v>
      </c>
      <c r="Z47" s="6">
        <f>IF(U47&gt;0.008856,116*(G47)^(1/3)-16,903.3*U47)</f>
        <v>54.005777808800104</v>
      </c>
      <c r="AA47" s="4">
        <f>(13*Z47)*(X47-V47)</f>
        <v>176.86959434523496</v>
      </c>
      <c r="AB47" s="9">
        <f>(13*Z47)*(Y47-W47)</f>
        <v>38.64651993633857</v>
      </c>
      <c r="AD47" s="10">
        <f aca="true" t="shared" si="37" ref="AD47:AD52">Z47</f>
        <v>54.005777808800104</v>
      </c>
      <c r="AE47" s="33">
        <f aca="true" t="shared" si="38" ref="AE47:AE52">AG47/AD47</f>
        <v>3.3522812347032636</v>
      </c>
      <c r="AF47" s="33">
        <f aca="true" t="shared" si="39" ref="AF47:AF52">IF(AH47&gt;0,DEGREES(AH47),DEGREES(AH47)+360)</f>
        <v>12.325575529989278</v>
      </c>
      <c r="AG47" s="33">
        <f aca="true" t="shared" si="40" ref="AG47:AG52">SQRT(AA47^2+AB47^2)</f>
        <v>181.04255551399453</v>
      </c>
      <c r="AH47" s="34">
        <f aca="true" t="shared" si="41" ref="AH47:AH52">ATAN2(AA47,AB47)</f>
        <v>0.21512187520155798</v>
      </c>
      <c r="AI47" s="1" t="s">
        <v>40</v>
      </c>
      <c r="AN47" s="11"/>
      <c r="BA47" s="2"/>
      <c r="BB47" s="2"/>
      <c r="BC47" s="2"/>
    </row>
    <row r="48" spans="2:56" ht="12.75" hidden="1">
      <c r="B48" s="5" t="s">
        <v>41</v>
      </c>
      <c r="C48" s="3">
        <f>G17</f>
        <v>0.266</v>
      </c>
      <c r="D48" s="3">
        <f>G19</f>
        <v>0.661</v>
      </c>
      <c r="E48" s="3">
        <f>G21/C21</f>
        <v>0.2043</v>
      </c>
      <c r="F48" s="3">
        <f t="shared" si="25"/>
        <v>0.08221452344931922</v>
      </c>
      <c r="G48" s="3">
        <f t="shared" si="26"/>
        <v>0.2043</v>
      </c>
      <c r="H48" s="3">
        <f t="shared" si="27"/>
        <v>0.022562632375189094</v>
      </c>
      <c r="I48" s="12">
        <f t="shared" si="28"/>
        <v>0.08650009022969628</v>
      </c>
      <c r="J48" s="12">
        <f t="shared" si="29"/>
        <v>0.2043</v>
      </c>
      <c r="K48" s="12">
        <f t="shared" si="30"/>
        <v>0.020717572010709496</v>
      </c>
      <c r="L48" s="13">
        <f aca="true" t="shared" si="42" ref="L48:L54">$F$43</f>
        <v>0.9504559270516716</v>
      </c>
      <c r="M48" s="3">
        <f aca="true" t="shared" si="43" ref="M48:M54">$E$43</f>
        <v>1</v>
      </c>
      <c r="N48" s="3">
        <f aca="true" t="shared" si="44" ref="N48:N54">$H$43</f>
        <v>1.0890577507598784</v>
      </c>
      <c r="O48" s="14">
        <f t="shared" si="31"/>
        <v>0.442254424866025</v>
      </c>
      <c r="P48" s="14">
        <f t="shared" si="32"/>
        <v>0.5889649572767098</v>
      </c>
      <c r="Q48" s="14">
        <f t="shared" si="33"/>
        <v>0.2746500099032503</v>
      </c>
      <c r="R48" s="12">
        <f t="shared" si="34"/>
        <v>52.319935044098344</v>
      </c>
      <c r="S48" s="12">
        <f t="shared" si="35"/>
        <v>-73.35526620534242</v>
      </c>
      <c r="T48" s="12">
        <f t="shared" si="36"/>
        <v>62.86298947469191</v>
      </c>
      <c r="U48" s="3">
        <f aca="true" t="shared" si="45" ref="U48:U53">G48/M48</f>
        <v>0.2043</v>
      </c>
      <c r="V48" s="3">
        <f aca="true" t="shared" si="46" ref="V48:V53">(4*L48)/(L48+15*M48+3*N48)</f>
        <v>0.19783000664283681</v>
      </c>
      <c r="W48" s="3">
        <f aca="true" t="shared" si="47" ref="W48:W53">(9*M48)/(L48+15*M48+3*N48)</f>
        <v>0.46831999493879106</v>
      </c>
      <c r="X48" s="3">
        <f aca="true" t="shared" si="48" ref="X48:X53">(F48*4)/(F48+15*G48+3*H48)</f>
        <v>0.10230769230769231</v>
      </c>
      <c r="Y48" s="3">
        <f aca="true" t="shared" si="49" ref="Y48:Y53">(9*G48)/(F48+15*G48+3*H48)</f>
        <v>0.5720192307692308</v>
      </c>
      <c r="Z48" s="6">
        <f aca="true" t="shared" si="50" ref="Z48:Z53">IF(U48&gt;0.008856,116*(G48)^(1/3)-16,903.3*U48)</f>
        <v>52.319935044098344</v>
      </c>
      <c r="AA48" s="4">
        <f aca="true" t="shared" si="51" ref="AA48:AA53">(13*Z48)*(X48-V48)</f>
        <v>-64.97037665659715</v>
      </c>
      <c r="AB48" s="9">
        <f aca="true" t="shared" si="52" ref="AB48:AB53">(13*Z48)*(Y48-W48)</f>
        <v>70.53198467602614</v>
      </c>
      <c r="AD48" s="10">
        <f t="shared" si="37"/>
        <v>52.319935044098344</v>
      </c>
      <c r="AE48" s="33">
        <f t="shared" si="38"/>
        <v>1.8328637276326145</v>
      </c>
      <c r="AF48" s="33">
        <f t="shared" si="39"/>
        <v>132.64965050213985</v>
      </c>
      <c r="AG48" s="33">
        <f t="shared" si="40"/>
        <v>95.89531117442235</v>
      </c>
      <c r="AH48" s="34">
        <f t="shared" si="41"/>
        <v>2.31517315288209</v>
      </c>
      <c r="AI48" s="1" t="s">
        <v>41</v>
      </c>
      <c r="AN48" s="11"/>
      <c r="BA48" s="29"/>
      <c r="BB48" s="3"/>
      <c r="BC48" s="27"/>
      <c r="BD48" s="1"/>
    </row>
    <row r="49" spans="2:56" ht="12.75" hidden="1">
      <c r="B49" s="5" t="s">
        <v>42</v>
      </c>
      <c r="C49" s="3">
        <f>I17</f>
        <v>0.145</v>
      </c>
      <c r="D49" s="3">
        <f>I19</f>
        <v>0.067</v>
      </c>
      <c r="E49" s="3">
        <f>I21/C21</f>
        <v>0.022099999999999998</v>
      </c>
      <c r="F49" s="3">
        <f t="shared" si="25"/>
        <v>0.047828358208955216</v>
      </c>
      <c r="G49" s="3">
        <f t="shared" si="26"/>
        <v>0.022099999999999998</v>
      </c>
      <c r="H49" s="3">
        <f t="shared" si="27"/>
        <v>0.2599223880597014</v>
      </c>
      <c r="I49" s="12">
        <f t="shared" si="28"/>
        <v>0.05032148976893594</v>
      </c>
      <c r="J49" s="12">
        <f t="shared" si="29"/>
        <v>0.022099999999999998</v>
      </c>
      <c r="K49" s="12">
        <f t="shared" si="30"/>
        <v>0.23866722208105431</v>
      </c>
      <c r="L49" s="13">
        <f t="shared" si="42"/>
        <v>0.9504559270516716</v>
      </c>
      <c r="M49" s="3">
        <f t="shared" si="43"/>
        <v>1</v>
      </c>
      <c r="N49" s="3">
        <f t="shared" si="44"/>
        <v>1.0890577507598784</v>
      </c>
      <c r="O49" s="14">
        <f t="shared" si="31"/>
        <v>0.3691910492154657</v>
      </c>
      <c r="P49" s="14">
        <f t="shared" si="32"/>
        <v>0.2806278428390438</v>
      </c>
      <c r="Q49" s="14">
        <f t="shared" si="33"/>
        <v>0.6202940177465036</v>
      </c>
      <c r="R49" s="12">
        <f t="shared" si="34"/>
        <v>16.55282976932908</v>
      </c>
      <c r="S49" s="12">
        <f t="shared" si="35"/>
        <v>44.28160318821095</v>
      </c>
      <c r="T49" s="12">
        <f t="shared" si="36"/>
        <v>-67.93323498149196</v>
      </c>
      <c r="U49" s="3">
        <f t="shared" si="45"/>
        <v>0.022099999999999998</v>
      </c>
      <c r="V49" s="3">
        <f t="shared" si="46"/>
        <v>0.19783000664283681</v>
      </c>
      <c r="W49" s="3">
        <f t="shared" si="47"/>
        <v>0.46831999493879106</v>
      </c>
      <c r="X49" s="3">
        <f t="shared" si="48"/>
        <v>0.16505406943653958</v>
      </c>
      <c r="Y49" s="3">
        <f t="shared" si="49"/>
        <v>0.17159931701764378</v>
      </c>
      <c r="Z49" s="6">
        <f t="shared" si="50"/>
        <v>16.55282976932908</v>
      </c>
      <c r="AA49" s="4">
        <f t="shared" si="51"/>
        <v>-7.052948618378747</v>
      </c>
      <c r="AB49" s="9">
        <f t="shared" si="52"/>
        <v>-63.850369318692756</v>
      </c>
      <c r="AD49" s="10">
        <f t="shared" si="37"/>
        <v>16.55282976932908</v>
      </c>
      <c r="AE49" s="33">
        <f t="shared" si="38"/>
        <v>3.8808303811696607</v>
      </c>
      <c r="AF49" s="33">
        <f t="shared" si="39"/>
        <v>263.69662920613337</v>
      </c>
      <c r="AG49" s="33">
        <f t="shared" si="40"/>
        <v>64.23872466314188</v>
      </c>
      <c r="AH49" s="34">
        <f t="shared" si="41"/>
        <v>-1.6808109011219179</v>
      </c>
      <c r="AI49" s="1" t="s">
        <v>42</v>
      </c>
      <c r="AN49" s="11"/>
      <c r="AX49" s="3"/>
      <c r="AY49" s="3"/>
      <c r="AZ49" s="3"/>
      <c r="BA49" s="29"/>
      <c r="BB49" s="3"/>
      <c r="BC49" s="27"/>
      <c r="BD49" s="1"/>
    </row>
    <row r="50" spans="2:56" ht="12.75" hidden="1">
      <c r="B50" s="5" t="s">
        <v>29</v>
      </c>
      <c r="C50" s="3">
        <f>K17</f>
        <v>0.439</v>
      </c>
      <c r="D50" s="3">
        <f>K19</f>
        <v>0.518</v>
      </c>
      <c r="E50" s="3">
        <f>K21/C21</f>
        <v>0.278</v>
      </c>
      <c r="F50" s="3">
        <f t="shared" si="25"/>
        <v>0.23560231660231662</v>
      </c>
      <c r="G50" s="3">
        <f t="shared" si="26"/>
        <v>0.278</v>
      </c>
      <c r="H50" s="3">
        <f t="shared" si="27"/>
        <v>0.02307722007722004</v>
      </c>
      <c r="I50" s="12">
        <f t="shared" si="28"/>
        <v>0.2478834734958816</v>
      </c>
      <c r="J50" s="12">
        <f t="shared" si="29"/>
        <v>0.278</v>
      </c>
      <c r="K50" s="12">
        <f t="shared" si="30"/>
        <v>0.02119007927827349</v>
      </c>
      <c r="L50" s="13">
        <f t="shared" si="42"/>
        <v>0.9504559270516716</v>
      </c>
      <c r="M50" s="3">
        <f t="shared" si="43"/>
        <v>1</v>
      </c>
      <c r="N50" s="3">
        <f t="shared" si="44"/>
        <v>1.0890577507598784</v>
      </c>
      <c r="O50" s="14">
        <f t="shared" si="31"/>
        <v>0.6281777134211562</v>
      </c>
      <c r="P50" s="14">
        <f t="shared" si="32"/>
        <v>0.6526518879343751</v>
      </c>
      <c r="Q50" s="14">
        <f t="shared" si="33"/>
        <v>0.2767223223968006</v>
      </c>
      <c r="R50" s="12">
        <f t="shared" si="34"/>
        <v>59.70761900038751</v>
      </c>
      <c r="S50" s="12">
        <f t="shared" si="35"/>
        <v>-12.237087256609435</v>
      </c>
      <c r="T50" s="12">
        <f t="shared" si="36"/>
        <v>75.1859131075149</v>
      </c>
      <c r="U50" s="3">
        <f t="shared" si="45"/>
        <v>0.278</v>
      </c>
      <c r="V50" s="3">
        <f t="shared" si="46"/>
        <v>0.19783000664283681</v>
      </c>
      <c r="W50" s="3">
        <f t="shared" si="47"/>
        <v>0.46831999493879106</v>
      </c>
      <c r="X50" s="3">
        <f t="shared" si="48"/>
        <v>0.21060206284480693</v>
      </c>
      <c r="Y50" s="3">
        <f t="shared" si="49"/>
        <v>0.5591268889421924</v>
      </c>
      <c r="Z50" s="6">
        <f t="shared" si="50"/>
        <v>59.70761900038751</v>
      </c>
      <c r="AA50" s="4">
        <f t="shared" si="51"/>
        <v>9.91365785226398</v>
      </c>
      <c r="AB50" s="9">
        <f t="shared" si="52"/>
        <v>70.48422458692761</v>
      </c>
      <c r="AD50" s="10">
        <f t="shared" si="37"/>
        <v>59.70761900038751</v>
      </c>
      <c r="AE50" s="33">
        <f t="shared" si="38"/>
        <v>1.1921090317881757</v>
      </c>
      <c r="AF50" s="33">
        <f t="shared" si="39"/>
        <v>81.99382534748035</v>
      </c>
      <c r="AG50" s="33">
        <f t="shared" si="40"/>
        <v>71.17799187692924</v>
      </c>
      <c r="AH50" s="34">
        <f t="shared" si="41"/>
        <v>1.4310622186187159</v>
      </c>
      <c r="AI50" s="1" t="s">
        <v>29</v>
      </c>
      <c r="AN50" s="11"/>
      <c r="AX50" s="3"/>
      <c r="AY50" s="3"/>
      <c r="AZ50" s="3"/>
      <c r="BA50" s="29"/>
      <c r="BB50" s="3"/>
      <c r="BC50" s="27"/>
      <c r="BD50" s="1"/>
    </row>
    <row r="51" spans="2:56" ht="12.75" hidden="1">
      <c r="B51" s="5" t="s">
        <v>43</v>
      </c>
      <c r="C51" s="3">
        <f>M17</f>
        <v>0.197</v>
      </c>
      <c r="D51" s="3">
        <f>M19</f>
        <v>0.326</v>
      </c>
      <c r="E51" s="3">
        <f>M21/C21</f>
        <v>0.2122</v>
      </c>
      <c r="F51" s="3">
        <f t="shared" si="25"/>
        <v>0.1282312883435583</v>
      </c>
      <c r="G51" s="3">
        <f t="shared" si="26"/>
        <v>0.2122</v>
      </c>
      <c r="H51" s="3">
        <f t="shared" si="27"/>
        <v>0.3104889570552147</v>
      </c>
      <c r="I51" s="12">
        <f t="shared" si="28"/>
        <v>0.1349155544132737</v>
      </c>
      <c r="J51" s="12">
        <f t="shared" si="29"/>
        <v>0.2122</v>
      </c>
      <c r="K51" s="12">
        <f t="shared" si="30"/>
        <v>0.2850987074271996</v>
      </c>
      <c r="L51" s="13">
        <f t="shared" si="42"/>
        <v>0.9504559270516716</v>
      </c>
      <c r="M51" s="3">
        <f t="shared" si="43"/>
        <v>1</v>
      </c>
      <c r="N51" s="3">
        <f t="shared" si="44"/>
        <v>1.0890577507598784</v>
      </c>
      <c r="O51" s="14">
        <f t="shared" si="31"/>
        <v>0.5128857987874115</v>
      </c>
      <c r="P51" s="14">
        <f t="shared" si="32"/>
        <v>0.5964606441349644</v>
      </c>
      <c r="Q51" s="14">
        <f t="shared" si="33"/>
        <v>0.6581604018151896</v>
      </c>
      <c r="R51" s="12">
        <f t="shared" si="34"/>
        <v>53.189434719655864</v>
      </c>
      <c r="S51" s="12">
        <f t="shared" si="35"/>
        <v>-41.78742267377644</v>
      </c>
      <c r="T51" s="12">
        <f t="shared" si="36"/>
        <v>-12.339951536045056</v>
      </c>
      <c r="U51" s="3">
        <f t="shared" si="45"/>
        <v>0.2122</v>
      </c>
      <c r="V51" s="3">
        <f t="shared" si="46"/>
        <v>0.19783000664283681</v>
      </c>
      <c r="W51" s="3">
        <f t="shared" si="47"/>
        <v>0.46831999493879106</v>
      </c>
      <c r="X51" s="3">
        <f t="shared" si="48"/>
        <v>0.12089598036207427</v>
      </c>
      <c r="Y51" s="3">
        <f t="shared" si="49"/>
        <v>0.45013807916538817</v>
      </c>
      <c r="Z51" s="6">
        <f t="shared" si="50"/>
        <v>53.189434719655864</v>
      </c>
      <c r="AA51" s="4">
        <f t="shared" si="51"/>
        <v>-53.197005791551796</v>
      </c>
      <c r="AB51" s="9">
        <f t="shared" si="52"/>
        <v>-12.572115687400025</v>
      </c>
      <c r="AD51" s="10">
        <f t="shared" si="37"/>
        <v>53.189434719655864</v>
      </c>
      <c r="AE51" s="33">
        <f t="shared" si="38"/>
        <v>1.0276930825408286</v>
      </c>
      <c r="AF51" s="33">
        <f t="shared" si="39"/>
        <v>193.29681372760967</v>
      </c>
      <c r="AG51" s="33">
        <f t="shared" si="40"/>
        <v>54.6624141256473</v>
      </c>
      <c r="AH51" s="34">
        <f t="shared" si="41"/>
        <v>-2.909519474018624</v>
      </c>
      <c r="AI51" s="1" t="s">
        <v>43</v>
      </c>
      <c r="AN51" s="11"/>
      <c r="BC51" s="27"/>
      <c r="BD51" s="1"/>
    </row>
    <row r="52" spans="2:56" ht="12.75" hidden="1">
      <c r="B52" s="5" t="s">
        <v>44</v>
      </c>
      <c r="C52" s="3">
        <f>O17</f>
        <v>0.344</v>
      </c>
      <c r="D52" s="3">
        <f>O19</f>
        <v>0.164</v>
      </c>
      <c r="E52" s="3">
        <f>O21/C21</f>
        <v>0.08</v>
      </c>
      <c r="F52" s="3">
        <f t="shared" si="25"/>
        <v>0.16780487804878047</v>
      </c>
      <c r="G52" s="3">
        <f t="shared" si="26"/>
        <v>0.08</v>
      </c>
      <c r="H52" s="3">
        <f t="shared" si="27"/>
        <v>0.24</v>
      </c>
      <c r="I52" s="12">
        <f t="shared" si="28"/>
        <v>0.17655198234105782</v>
      </c>
      <c r="J52" s="12">
        <f t="shared" si="29"/>
        <v>0.08</v>
      </c>
      <c r="K52" s="12">
        <f t="shared" si="30"/>
        <v>0.22037398827797933</v>
      </c>
      <c r="L52" s="13">
        <f t="shared" si="42"/>
        <v>0.9504559270516716</v>
      </c>
      <c r="M52" s="3">
        <f t="shared" si="43"/>
        <v>1</v>
      </c>
      <c r="N52" s="3">
        <f t="shared" si="44"/>
        <v>1.0890577507598784</v>
      </c>
      <c r="O52" s="14">
        <f t="shared" si="31"/>
        <v>0.5609931169314232</v>
      </c>
      <c r="P52" s="14">
        <f t="shared" si="32"/>
        <v>0.43088693800637673</v>
      </c>
      <c r="Q52" s="14">
        <f t="shared" si="33"/>
        <v>0.6040229552460656</v>
      </c>
      <c r="R52" s="12">
        <f t="shared" si="34"/>
        <v>33.9828848087397</v>
      </c>
      <c r="S52" s="12">
        <f t="shared" si="35"/>
        <v>65.05308946252322</v>
      </c>
      <c r="T52" s="12">
        <f t="shared" si="36"/>
        <v>-34.62720344793778</v>
      </c>
      <c r="U52" s="3">
        <f t="shared" si="45"/>
        <v>0.08</v>
      </c>
      <c r="V52" s="3">
        <f t="shared" si="46"/>
        <v>0.19783000664283681</v>
      </c>
      <c r="W52" s="3">
        <f t="shared" si="47"/>
        <v>0.46831999493879106</v>
      </c>
      <c r="X52" s="3">
        <f t="shared" si="48"/>
        <v>0.3214953271028037</v>
      </c>
      <c r="Y52" s="3">
        <f t="shared" si="49"/>
        <v>0.3448598130841121</v>
      </c>
      <c r="Z52" s="6">
        <f t="shared" si="50"/>
        <v>33.9828848087397</v>
      </c>
      <c r="AA52" s="4">
        <f t="shared" si="51"/>
        <v>54.63255642035016</v>
      </c>
      <c r="AB52" s="9">
        <f t="shared" si="52"/>
        <v>-54.54193079963692</v>
      </c>
      <c r="AD52" s="10">
        <f t="shared" si="37"/>
        <v>33.9828848087397</v>
      </c>
      <c r="AE52" s="33">
        <f t="shared" si="38"/>
        <v>2.2716743230449175</v>
      </c>
      <c r="AF52" s="33">
        <f t="shared" si="39"/>
        <v>315.04756115208045</v>
      </c>
      <c r="AG52" s="33">
        <f t="shared" si="40"/>
        <v>77.19804684300716</v>
      </c>
      <c r="AH52" s="34">
        <f t="shared" si="41"/>
        <v>-0.7845680646976027</v>
      </c>
      <c r="AI52" s="1" t="s">
        <v>44</v>
      </c>
      <c r="AN52" s="11"/>
      <c r="AX52" s="4"/>
      <c r="AY52" s="3"/>
      <c r="AZ52" s="13"/>
      <c r="BC52" s="27"/>
      <c r="BD52" s="1"/>
    </row>
    <row r="53" spans="2:56" ht="12.75" hidden="1">
      <c r="B53" s="5" t="s">
        <v>45</v>
      </c>
      <c r="C53" s="3">
        <f>C17</f>
        <v>0.3027</v>
      </c>
      <c r="D53" s="3">
        <f>C19</f>
        <v>0.329</v>
      </c>
      <c r="E53" s="3">
        <v>1</v>
      </c>
      <c r="F53" s="3">
        <f t="shared" si="25"/>
        <v>0.9200607902735563</v>
      </c>
      <c r="G53" s="3">
        <f t="shared" si="26"/>
        <v>1</v>
      </c>
      <c r="H53" s="3">
        <f t="shared" si="27"/>
        <v>1.1194528875379939</v>
      </c>
      <c r="I53" s="12">
        <f t="shared" si="28"/>
        <v>0.9680204669011834</v>
      </c>
      <c r="J53" s="12">
        <f t="shared" si="29"/>
        <v>1</v>
      </c>
      <c r="K53" s="12">
        <f t="shared" si="30"/>
        <v>1.0279095729835332</v>
      </c>
      <c r="L53" s="13">
        <f t="shared" si="42"/>
        <v>0.9504559270516716</v>
      </c>
      <c r="M53" s="3">
        <f t="shared" si="43"/>
        <v>1</v>
      </c>
      <c r="N53" s="3">
        <f t="shared" si="44"/>
        <v>1.0890577507598784</v>
      </c>
      <c r="O53" s="14">
        <f>IF(I53&gt;0.008856,I53^(1/3),((903.3*I53)+16)/116)</f>
        <v>0.9892244604382728</v>
      </c>
      <c r="P53" s="14">
        <f>IF(J53&gt;0.008856,J53^(1/3),((903.3*J53)+16)/116)</f>
        <v>1</v>
      </c>
      <c r="Q53" s="14">
        <f t="shared" si="33"/>
        <v>1.0092179591381414</v>
      </c>
      <c r="R53" s="15">
        <f>116*P53-16</f>
        <v>100</v>
      </c>
      <c r="S53" s="12">
        <f>500*(O53-P53)</f>
        <v>-5.387769780863582</v>
      </c>
      <c r="T53" s="12">
        <f>200*(P53-Q53)</f>
        <v>-1.843591827628277</v>
      </c>
      <c r="U53" s="3">
        <f t="shared" si="45"/>
        <v>1</v>
      </c>
      <c r="V53" s="3">
        <f t="shared" si="46"/>
        <v>0.19783000664283681</v>
      </c>
      <c r="W53" s="3">
        <f t="shared" si="47"/>
        <v>0.46831999493879106</v>
      </c>
      <c r="X53" s="3">
        <f t="shared" si="48"/>
        <v>0.19089963106612431</v>
      </c>
      <c r="Y53" s="3">
        <f t="shared" si="49"/>
        <v>0.46684325040204333</v>
      </c>
      <c r="Z53" s="6">
        <f t="shared" si="50"/>
        <v>100</v>
      </c>
      <c r="AA53" s="4">
        <f t="shared" si="51"/>
        <v>-9.00948824972625</v>
      </c>
      <c r="AB53" s="9">
        <f t="shared" si="52"/>
        <v>-1.9197678977720511</v>
      </c>
      <c r="AD53" s="10">
        <f>Z53</f>
        <v>100</v>
      </c>
      <c r="AE53" s="33">
        <f>AG53/AD53</f>
        <v>0.09211752672714973</v>
      </c>
      <c r="AF53" s="33">
        <f>IF(AH53&gt;0,DEGREES(AH53),DEGREES(AH53)+360)</f>
        <v>192.02885035620977</v>
      </c>
      <c r="AG53" s="33">
        <f>SQRT(AA53^2+AB53^2)</f>
        <v>9.211752672714974</v>
      </c>
      <c r="AH53" s="34">
        <f>ATAN2(AA53,AB53)</f>
        <v>-2.9316496096442397</v>
      </c>
      <c r="AY53" s="4"/>
      <c r="AZ53" s="4"/>
      <c r="BC53" s="27"/>
      <c r="BD53" s="1"/>
    </row>
    <row r="54" spans="2:52" ht="12.75" hidden="1">
      <c r="B54" s="5" t="s">
        <v>4</v>
      </c>
      <c r="C54" s="3">
        <f>J10</f>
        <v>0.64</v>
      </c>
      <c r="D54" s="3">
        <f>J11</f>
        <v>0.33</v>
      </c>
      <c r="E54" s="3">
        <f>J12</f>
        <v>0.2426</v>
      </c>
      <c r="F54" s="3">
        <f>(C54*E54)/D54</f>
        <v>0.4704969696969697</v>
      </c>
      <c r="G54" s="3">
        <f>E54</f>
        <v>0.2426</v>
      </c>
      <c r="H54" s="3">
        <f>((1-C54-D54)*E54)/D54</f>
        <v>0.022054545454545434</v>
      </c>
      <c r="I54" s="12">
        <f>F54/L54</f>
        <v>0.49502239536393683</v>
      </c>
      <c r="J54" s="12">
        <f>G54/M54</f>
        <v>0.2426</v>
      </c>
      <c r="K54" s="12">
        <f>H54/N54</f>
        <v>0.020251033922817324</v>
      </c>
      <c r="L54" s="13">
        <f t="shared" si="42"/>
        <v>0.9504559270516716</v>
      </c>
      <c r="M54" s="3">
        <f t="shared" si="43"/>
        <v>1</v>
      </c>
      <c r="N54" s="3">
        <f t="shared" si="44"/>
        <v>1.0890577507598784</v>
      </c>
      <c r="O54" s="14">
        <f>IF(I54&gt;0.008856,I54^(1/3),((903.3*I54)+16)/116)</f>
        <v>0.791057918973225</v>
      </c>
      <c r="P54" s="14">
        <f>IF(J54&gt;0.008856,J54^(1/3),((903.3*J54)+16)/116)</f>
        <v>0.6236825582401185</v>
      </c>
      <c r="Q54" s="14">
        <f>IF(K54&gt;0.008856,K54^(1/3),((903.3*K54)+16)/116)</f>
        <v>0.27257272776548375</v>
      </c>
      <c r="R54" s="15">
        <f>116*P54-16</f>
        <v>56.34717675585375</v>
      </c>
      <c r="S54" s="12">
        <f>500*(O54-P54)</f>
        <v>83.68768036655322</v>
      </c>
      <c r="T54" s="12">
        <f>200*(P54-Q54)</f>
        <v>70.22196609492696</v>
      </c>
      <c r="U54" s="3">
        <f>G54/M54</f>
        <v>0.2426</v>
      </c>
      <c r="V54" s="3">
        <f>(4*L54)/(L54+15*M54+3*N54)</f>
        <v>0.19783000664283681</v>
      </c>
      <c r="W54" s="3">
        <f>(9*M54)/(L54+15*M54+3*N54)</f>
        <v>0.46831999493879106</v>
      </c>
      <c r="X54" s="3">
        <f>(F54*4)/(F54+15*G54+3*H54)</f>
        <v>0.4507042253521127</v>
      </c>
      <c r="Y54" s="3">
        <f>(9*G54)/(F54+15*G54+3*H54)</f>
        <v>0.5228873239436621</v>
      </c>
      <c r="Z54" s="6">
        <f>IF(U54&gt;0.008856,116*(G54)^(1/3)-16,903.3*U54)</f>
        <v>56.34717675585375</v>
      </c>
      <c r="AA54" s="4">
        <f>(13*Z54)*(X54-V54)</f>
        <v>185.2337278819298</v>
      </c>
      <c r="AB54" s="9">
        <f>(13*Z54)*(Y54-W54)</f>
        <v>39.97129412291982</v>
      </c>
      <c r="AC54" s="10"/>
      <c r="AD54" s="10">
        <f>Z54</f>
        <v>56.34717675585375</v>
      </c>
      <c r="AE54" s="33">
        <f>AG54/AD54</f>
        <v>3.363031503889218</v>
      </c>
      <c r="AF54" s="33">
        <f>IF(AH54&gt;0,DEGREES(AH54),DEGREES(AH54)+360)</f>
        <v>12.177050630061172</v>
      </c>
      <c r="AG54" s="33">
        <f>SQRT(AA54^2+AB54^2)</f>
        <v>189.49733058515042</v>
      </c>
      <c r="AH54" s="34">
        <f>ATAN2(AA54,AB54)</f>
        <v>0.21252962667661746</v>
      </c>
      <c r="AY54" s="10"/>
      <c r="AZ54" s="13"/>
    </row>
    <row r="55" spans="50:52" ht="12.75" hidden="1">
      <c r="AX55" s="1"/>
      <c r="AY55" s="30"/>
      <c r="AZ55" s="28"/>
    </row>
    <row r="56" spans="3:52" ht="12.75" hidden="1">
      <c r="C56" s="1" t="s">
        <v>88</v>
      </c>
      <c r="K56" s="1"/>
      <c r="AX56" s="1"/>
      <c r="AY56" s="30"/>
      <c r="AZ56" s="28"/>
    </row>
    <row r="57" spans="3:52" ht="12.75" hidden="1">
      <c r="C57" s="2" t="s">
        <v>27</v>
      </c>
      <c r="D57" s="2" t="s">
        <v>28</v>
      </c>
      <c r="E57" s="2" t="s">
        <v>29</v>
      </c>
      <c r="F57" s="5" t="s">
        <v>52</v>
      </c>
      <c r="G57" s="5" t="s">
        <v>29</v>
      </c>
      <c r="H57" s="5" t="s">
        <v>53</v>
      </c>
      <c r="I57" s="2" t="s">
        <v>27</v>
      </c>
      <c r="J57" s="2" t="s">
        <v>28</v>
      </c>
      <c r="K57" s="2" t="s">
        <v>54</v>
      </c>
      <c r="L57" s="2" t="s">
        <v>58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63</v>
      </c>
      <c r="R57" s="2" t="s">
        <v>49</v>
      </c>
      <c r="S57" s="2" t="s">
        <v>55</v>
      </c>
      <c r="T57" s="2" t="s">
        <v>56</v>
      </c>
      <c r="AD57" s="2" t="s">
        <v>47</v>
      </c>
      <c r="AE57" s="2" t="s">
        <v>46</v>
      </c>
      <c r="AF57" s="2" t="s">
        <v>48</v>
      </c>
      <c r="AG57" s="2" t="s">
        <v>127</v>
      </c>
      <c r="AX57" s="1"/>
      <c r="AY57" s="30"/>
      <c r="AZ57" s="28"/>
    </row>
    <row r="58" spans="2:52" ht="12.75" hidden="1">
      <c r="B58" s="5" t="s">
        <v>40</v>
      </c>
      <c r="C58" s="3">
        <f>E17</f>
        <v>0.64</v>
      </c>
      <c r="D58" s="3">
        <f>E19</f>
        <v>0.331</v>
      </c>
      <c r="E58" s="3">
        <f>E21/C21</f>
        <v>0.2198</v>
      </c>
      <c r="F58" s="3">
        <f aca="true" t="shared" si="53" ref="F58:F64">(C58*E58)/D58</f>
        <v>0.4249909365558912</v>
      </c>
      <c r="G58" s="3">
        <f aca="true" t="shared" si="54" ref="G58:G64">E58</f>
        <v>0.2198</v>
      </c>
      <c r="H58" s="3">
        <f aca="true" t="shared" si="55" ref="H58:H64">((1-C58-D58)*E58)/D58</f>
        <v>0.0192574018126888</v>
      </c>
      <c r="I58" s="12">
        <f aca="true" t="shared" si="56" ref="I58:K64">F58/L58</f>
        <v>0.44714428566321784</v>
      </c>
      <c r="J58" s="12">
        <f t="shared" si="56"/>
        <v>0.2198</v>
      </c>
      <c r="K58" s="12">
        <f t="shared" si="56"/>
        <v>0.017682626838890915</v>
      </c>
      <c r="L58" s="13">
        <f>$F$43</f>
        <v>0.9504559270516716</v>
      </c>
      <c r="M58" s="3">
        <f>$G$43</f>
        <v>1</v>
      </c>
      <c r="N58" s="3">
        <f>$H$43</f>
        <v>1.0890577507598784</v>
      </c>
      <c r="O58" s="14">
        <f aca="true" t="shared" si="57" ref="O58:Q64">IF(I58&gt;0.008856,I58^(1/3),((903.3*I58)+16)/116)</f>
        <v>0.7646849832394207</v>
      </c>
      <c r="P58" s="14">
        <f t="shared" si="57"/>
        <v>0.6034980845586215</v>
      </c>
      <c r="Q58" s="14">
        <f t="shared" si="57"/>
        <v>0.2605247137146359</v>
      </c>
      <c r="R58" s="12">
        <f aca="true" t="shared" si="58" ref="R58:R64">116*P58-16</f>
        <v>54.005777808800104</v>
      </c>
      <c r="S58" s="12">
        <f aca="true" t="shared" si="59" ref="S58:S64">500*(O58-P58)</f>
        <v>80.59344934039959</v>
      </c>
      <c r="T58" s="12">
        <f aca="true" t="shared" si="60" ref="T58:T64">200*(P58-Q58)</f>
        <v>68.59467416879713</v>
      </c>
      <c r="AD58" s="63">
        <f aca="true" t="shared" si="61" ref="AD58:AD63">SQRT((R37-R47)^2+(S37-S47)^2+(T37-T47)^2)</f>
        <v>1.674259739100763</v>
      </c>
      <c r="AE58" s="63">
        <f aca="true" t="shared" si="62" ref="AE58:AE63">SQRT((Z37-Z47)^2+(AA37-AA47)^2+(AB37-AB47)^2)</f>
        <v>2.211402109925361</v>
      </c>
      <c r="AF58" s="63">
        <f aca="true" t="shared" si="63" ref="AF58:AF65">R67</f>
        <v>0.8549634084696806</v>
      </c>
      <c r="AG58" s="63">
        <f>AS85</f>
        <v>0.8546151450189275</v>
      </c>
      <c r="AH58" s="1" t="s">
        <v>40</v>
      </c>
      <c r="AX58" s="1"/>
      <c r="AY58" s="30"/>
      <c r="AZ58" s="28"/>
    </row>
    <row r="59" spans="2:52" ht="12.75" hidden="1">
      <c r="B59" s="5" t="s">
        <v>41</v>
      </c>
      <c r="C59" s="3">
        <f>G17</f>
        <v>0.266</v>
      </c>
      <c r="D59" s="3">
        <f>G19</f>
        <v>0.661</v>
      </c>
      <c r="E59" s="3">
        <f>G21/C21</f>
        <v>0.2043</v>
      </c>
      <c r="F59" s="3">
        <f t="shared" si="53"/>
        <v>0.08221452344931922</v>
      </c>
      <c r="G59" s="3">
        <f t="shared" si="54"/>
        <v>0.2043</v>
      </c>
      <c r="H59" s="3">
        <f t="shared" si="55"/>
        <v>0.022562632375189094</v>
      </c>
      <c r="I59" s="12">
        <f t="shared" si="56"/>
        <v>0.08650009022969628</v>
      </c>
      <c r="J59" s="12">
        <f t="shared" si="56"/>
        <v>0.2043</v>
      </c>
      <c r="K59" s="12">
        <f t="shared" si="56"/>
        <v>0.020717572010709496</v>
      </c>
      <c r="L59" s="13">
        <f aca="true" t="shared" si="64" ref="L59:L65">$F$43</f>
        <v>0.9504559270516716</v>
      </c>
      <c r="M59" s="3">
        <f aca="true" t="shared" si="65" ref="M59:M65">$G$43</f>
        <v>1</v>
      </c>
      <c r="N59" s="3">
        <f aca="true" t="shared" si="66" ref="N59:N65">$H$43</f>
        <v>1.0890577507598784</v>
      </c>
      <c r="O59" s="14">
        <f t="shared" si="57"/>
        <v>0.442254424866025</v>
      </c>
      <c r="P59" s="14">
        <f t="shared" si="57"/>
        <v>0.5889649572767098</v>
      </c>
      <c r="Q59" s="14">
        <f t="shared" si="57"/>
        <v>0.2746500099032503</v>
      </c>
      <c r="R59" s="12">
        <f t="shared" si="58"/>
        <v>52.319935044098344</v>
      </c>
      <c r="S59" s="12">
        <f t="shared" si="59"/>
        <v>-73.35526620534242</v>
      </c>
      <c r="T59" s="12">
        <f t="shared" si="60"/>
        <v>62.86298947469191</v>
      </c>
      <c r="AD59" s="63">
        <f t="shared" si="61"/>
        <v>42.80207035987362</v>
      </c>
      <c r="AE59" s="63">
        <f t="shared" si="62"/>
        <v>54.2460872628985</v>
      </c>
      <c r="AF59" s="63">
        <f t="shared" si="63"/>
        <v>35.67500996027049</v>
      </c>
      <c r="AG59" s="63">
        <f aca="true" t="shared" si="67" ref="AG59:AG65">AS86</f>
        <v>27.741302189704403</v>
      </c>
      <c r="AH59" s="1" t="s">
        <v>41</v>
      </c>
      <c r="AX59" s="1"/>
      <c r="AY59" s="30"/>
      <c r="AZ59" s="4"/>
    </row>
    <row r="60" spans="2:51" ht="12.75" hidden="1">
      <c r="B60" s="5" t="s">
        <v>42</v>
      </c>
      <c r="C60" s="3">
        <f>I17</f>
        <v>0.145</v>
      </c>
      <c r="D60" s="3">
        <f>I19</f>
        <v>0.067</v>
      </c>
      <c r="E60" s="3">
        <f>I21/C21</f>
        <v>0.022099999999999998</v>
      </c>
      <c r="F60" s="3">
        <f t="shared" si="53"/>
        <v>0.047828358208955216</v>
      </c>
      <c r="G60" s="3">
        <f t="shared" si="54"/>
        <v>0.022099999999999998</v>
      </c>
      <c r="H60" s="3">
        <f t="shared" si="55"/>
        <v>0.2599223880597014</v>
      </c>
      <c r="I60" s="12">
        <f t="shared" si="56"/>
        <v>0.05032148976893594</v>
      </c>
      <c r="J60" s="12">
        <f t="shared" si="56"/>
        <v>0.022099999999999998</v>
      </c>
      <c r="K60" s="12">
        <f t="shared" si="56"/>
        <v>0.23866722208105431</v>
      </c>
      <c r="L60" s="13">
        <f t="shared" si="64"/>
        <v>0.9504559270516716</v>
      </c>
      <c r="M60" s="3">
        <f t="shared" si="65"/>
        <v>1</v>
      </c>
      <c r="N60" s="3">
        <f t="shared" si="66"/>
        <v>1.0890577507598784</v>
      </c>
      <c r="O60" s="14">
        <f t="shared" si="57"/>
        <v>0.3691910492154657</v>
      </c>
      <c r="P60" s="14">
        <f t="shared" si="57"/>
        <v>0.2806278428390438</v>
      </c>
      <c r="Q60" s="14">
        <f t="shared" si="57"/>
        <v>0.6202940177465036</v>
      </c>
      <c r="R60" s="12">
        <f t="shared" si="58"/>
        <v>16.55282976932908</v>
      </c>
      <c r="S60" s="12">
        <f t="shared" si="59"/>
        <v>44.28160318821095</v>
      </c>
      <c r="T60" s="12">
        <f t="shared" si="60"/>
        <v>-67.93323498149196</v>
      </c>
      <c r="AD60" s="63">
        <f t="shared" si="61"/>
        <v>55.32906351494167</v>
      </c>
      <c r="AE60" s="63">
        <f t="shared" si="62"/>
        <v>68.38744528283318</v>
      </c>
      <c r="AF60" s="63">
        <f t="shared" si="63"/>
        <v>17.554307502447777</v>
      </c>
      <c r="AG60" s="63">
        <f t="shared" si="67"/>
        <v>14.813667751310042</v>
      </c>
      <c r="AH60" s="1" t="s">
        <v>42</v>
      </c>
      <c r="AX60" s="1"/>
      <c r="AY60" s="30"/>
    </row>
    <row r="61" spans="2:55" ht="12.75" hidden="1">
      <c r="B61" s="5" t="s">
        <v>29</v>
      </c>
      <c r="C61" s="3">
        <f>K17</f>
        <v>0.439</v>
      </c>
      <c r="D61" s="3">
        <f>K19</f>
        <v>0.518</v>
      </c>
      <c r="E61" s="3">
        <f>K21/C21</f>
        <v>0.278</v>
      </c>
      <c r="F61" s="3">
        <f t="shared" si="53"/>
        <v>0.23560231660231662</v>
      </c>
      <c r="G61" s="3">
        <f t="shared" si="54"/>
        <v>0.278</v>
      </c>
      <c r="H61" s="3">
        <f t="shared" si="55"/>
        <v>0.02307722007722004</v>
      </c>
      <c r="I61" s="12">
        <f t="shared" si="56"/>
        <v>0.2478834734958816</v>
      </c>
      <c r="J61" s="12">
        <f t="shared" si="56"/>
        <v>0.278</v>
      </c>
      <c r="K61" s="12">
        <f t="shared" si="56"/>
        <v>0.02119007927827349</v>
      </c>
      <c r="L61" s="13">
        <f t="shared" si="64"/>
        <v>0.9504559270516716</v>
      </c>
      <c r="M61" s="3">
        <f t="shared" si="65"/>
        <v>1</v>
      </c>
      <c r="N61" s="3">
        <f t="shared" si="66"/>
        <v>1.0890577507598784</v>
      </c>
      <c r="O61" s="14">
        <f t="shared" si="57"/>
        <v>0.6281777134211562</v>
      </c>
      <c r="P61" s="14">
        <f t="shared" si="57"/>
        <v>0.6526518879343751</v>
      </c>
      <c r="Q61" s="14">
        <f t="shared" si="57"/>
        <v>0.2767223223968006</v>
      </c>
      <c r="R61" s="15">
        <f t="shared" si="58"/>
        <v>59.70761900038751</v>
      </c>
      <c r="S61" s="15">
        <f t="shared" si="59"/>
        <v>-12.237087256609435</v>
      </c>
      <c r="T61" s="15">
        <f t="shared" si="60"/>
        <v>75.1859131075149</v>
      </c>
      <c r="AD61" s="63">
        <f t="shared" si="61"/>
        <v>43.14394915539637</v>
      </c>
      <c r="AE61" s="63">
        <f t="shared" si="62"/>
        <v>52.21574229906057</v>
      </c>
      <c r="AF61" s="63">
        <f t="shared" si="63"/>
        <v>37.6951317847783</v>
      </c>
      <c r="AG61" s="63">
        <f t="shared" si="67"/>
        <v>26.821174893653886</v>
      </c>
      <c r="AH61" s="1" t="s">
        <v>29</v>
      </c>
      <c r="AX61" s="1"/>
      <c r="AY61" s="17"/>
      <c r="AZ61" s="8"/>
      <c r="BB61" s="2"/>
      <c r="BC61" s="2"/>
    </row>
    <row r="62" spans="2:55" ht="12.75" hidden="1">
      <c r="B62" s="5" t="s">
        <v>43</v>
      </c>
      <c r="C62" s="3">
        <f>M17</f>
        <v>0.197</v>
      </c>
      <c r="D62" s="3">
        <f>M19</f>
        <v>0.326</v>
      </c>
      <c r="E62" s="3">
        <f>M21/C21</f>
        <v>0.2122</v>
      </c>
      <c r="F62" s="3">
        <f t="shared" si="53"/>
        <v>0.1282312883435583</v>
      </c>
      <c r="G62" s="3">
        <f t="shared" si="54"/>
        <v>0.2122</v>
      </c>
      <c r="H62" s="3">
        <f t="shared" si="55"/>
        <v>0.3104889570552147</v>
      </c>
      <c r="I62" s="12">
        <f t="shared" si="56"/>
        <v>0.1349155544132737</v>
      </c>
      <c r="J62" s="12">
        <f t="shared" si="56"/>
        <v>0.2122</v>
      </c>
      <c r="K62" s="12">
        <f t="shared" si="56"/>
        <v>0.2850987074271996</v>
      </c>
      <c r="L62" s="13">
        <f t="shared" si="64"/>
        <v>0.9504559270516716</v>
      </c>
      <c r="M62" s="3">
        <f t="shared" si="65"/>
        <v>1</v>
      </c>
      <c r="N62" s="3">
        <f t="shared" si="66"/>
        <v>1.0890577507598784</v>
      </c>
      <c r="O62" s="14">
        <f t="shared" si="57"/>
        <v>0.5128857987874115</v>
      </c>
      <c r="P62" s="14">
        <f t="shared" si="57"/>
        <v>0.5964606441349644</v>
      </c>
      <c r="Q62" s="14">
        <f t="shared" si="57"/>
        <v>0.6581604018151896</v>
      </c>
      <c r="R62" s="15">
        <f t="shared" si="58"/>
        <v>53.189434719655864</v>
      </c>
      <c r="S62" s="15">
        <f t="shared" si="59"/>
        <v>-41.78742267377644</v>
      </c>
      <c r="T62" s="15">
        <f t="shared" si="60"/>
        <v>-12.339951536045056</v>
      </c>
      <c r="AD62" s="63">
        <f t="shared" si="61"/>
        <v>38.490594218691015</v>
      </c>
      <c r="AE62" s="63">
        <f t="shared" si="62"/>
        <v>41.76975875549796</v>
      </c>
      <c r="AF62" s="63">
        <f t="shared" si="63"/>
        <v>37.980604498279966</v>
      </c>
      <c r="AG62" s="63">
        <f t="shared" si="67"/>
        <v>28.686530834602475</v>
      </c>
      <c r="AH62" s="1" t="s">
        <v>43</v>
      </c>
      <c r="AX62" s="1"/>
      <c r="AY62" s="30"/>
      <c r="BA62" s="31"/>
      <c r="BB62" s="3"/>
      <c r="BC62" s="3"/>
    </row>
    <row r="63" spans="2:55" ht="12.75" hidden="1">
      <c r="B63" s="5" t="s">
        <v>44</v>
      </c>
      <c r="C63" s="3">
        <f>O17</f>
        <v>0.344</v>
      </c>
      <c r="D63" s="3">
        <f>O19</f>
        <v>0.164</v>
      </c>
      <c r="E63" s="3">
        <f>O21/C21</f>
        <v>0.08</v>
      </c>
      <c r="F63" s="3">
        <f t="shared" si="53"/>
        <v>0.16780487804878047</v>
      </c>
      <c r="G63" s="3">
        <f t="shared" si="54"/>
        <v>0.08</v>
      </c>
      <c r="H63" s="3">
        <f t="shared" si="55"/>
        <v>0.24</v>
      </c>
      <c r="I63" s="12">
        <f t="shared" si="56"/>
        <v>0.17655198234105782</v>
      </c>
      <c r="J63" s="12">
        <f t="shared" si="56"/>
        <v>0.08</v>
      </c>
      <c r="K63" s="12">
        <f t="shared" si="56"/>
        <v>0.22037398827797933</v>
      </c>
      <c r="L63" s="13">
        <f t="shared" si="64"/>
        <v>0.9504559270516716</v>
      </c>
      <c r="M63" s="3">
        <f t="shared" si="65"/>
        <v>1</v>
      </c>
      <c r="N63" s="3">
        <f t="shared" si="66"/>
        <v>1.0890577507598784</v>
      </c>
      <c r="O63" s="14">
        <f t="shared" si="57"/>
        <v>0.5609931169314232</v>
      </c>
      <c r="P63" s="14">
        <f t="shared" si="57"/>
        <v>0.43088693800637673</v>
      </c>
      <c r="Q63" s="14">
        <f t="shared" si="57"/>
        <v>0.6040229552460656</v>
      </c>
      <c r="R63" s="15">
        <f t="shared" si="58"/>
        <v>33.9828848087397</v>
      </c>
      <c r="S63" s="15">
        <f t="shared" si="59"/>
        <v>65.05308946252322</v>
      </c>
      <c r="T63" s="15">
        <f t="shared" si="60"/>
        <v>-34.62720344793778</v>
      </c>
      <c r="AD63" s="63">
        <f t="shared" si="61"/>
        <v>49.78053906588176</v>
      </c>
      <c r="AE63" s="63">
        <f t="shared" si="62"/>
        <v>66.98259544316906</v>
      </c>
      <c r="AF63" s="63">
        <f t="shared" si="63"/>
        <v>27.27646028131272</v>
      </c>
      <c r="AG63" s="63">
        <f t="shared" si="67"/>
        <v>27.033380659456924</v>
      </c>
      <c r="AH63" s="1" t="s">
        <v>44</v>
      </c>
      <c r="AX63" s="1"/>
      <c r="BA63" s="31"/>
      <c r="BB63" s="3"/>
      <c r="BC63" s="3"/>
    </row>
    <row r="64" spans="2:55" ht="12.75" hidden="1">
      <c r="B64" s="5" t="s">
        <v>45</v>
      </c>
      <c r="C64" s="3">
        <f>C17</f>
        <v>0.3027</v>
      </c>
      <c r="D64" s="3">
        <f>C19</f>
        <v>0.329</v>
      </c>
      <c r="E64" s="3">
        <v>1</v>
      </c>
      <c r="F64" s="3">
        <f t="shared" si="53"/>
        <v>0.9200607902735563</v>
      </c>
      <c r="G64" s="3">
        <f t="shared" si="54"/>
        <v>1</v>
      </c>
      <c r="H64" s="3">
        <f t="shared" si="55"/>
        <v>1.1194528875379939</v>
      </c>
      <c r="I64" s="12">
        <f t="shared" si="56"/>
        <v>0.9680204669011834</v>
      </c>
      <c r="J64" s="12">
        <f t="shared" si="56"/>
        <v>1</v>
      </c>
      <c r="K64" s="12">
        <f t="shared" si="56"/>
        <v>1.0279095729835332</v>
      </c>
      <c r="L64" s="13">
        <f t="shared" si="64"/>
        <v>0.9504559270516716</v>
      </c>
      <c r="M64" s="3">
        <f t="shared" si="65"/>
        <v>1</v>
      </c>
      <c r="N64" s="3">
        <f t="shared" si="66"/>
        <v>1.0890577507598784</v>
      </c>
      <c r="O64" s="14">
        <f t="shared" si="57"/>
        <v>0.9892244604382728</v>
      </c>
      <c r="P64" s="14">
        <f t="shared" si="57"/>
        <v>1</v>
      </c>
      <c r="Q64" s="14">
        <f t="shared" si="57"/>
        <v>1.0092179591381414</v>
      </c>
      <c r="R64" s="15">
        <f t="shared" si="58"/>
        <v>100</v>
      </c>
      <c r="S64" s="15">
        <f t="shared" si="59"/>
        <v>-5.387769780863582</v>
      </c>
      <c r="T64" s="15">
        <f t="shared" si="60"/>
        <v>-1.843591827628277</v>
      </c>
      <c r="AD64" s="63">
        <f>SQRT(($R$43-R53)^2+($S$43-S53)^2+($T$43-T53)^2)</f>
        <v>5.694461698745948</v>
      </c>
      <c r="AE64" s="63">
        <f>SQRT(($Z$43-Z53)^2+($AA$43-AA53)^2+($AB$43-AB53)^2)</f>
        <v>9.211752672714974</v>
      </c>
      <c r="AF64" s="63">
        <f t="shared" si="63"/>
        <v>5.694461698745948</v>
      </c>
      <c r="AG64" s="63">
        <f t="shared" si="67"/>
        <v>6.985339511395794</v>
      </c>
      <c r="AH64" s="1" t="s">
        <v>45</v>
      </c>
      <c r="AX64" s="32"/>
      <c r="BA64" s="31"/>
      <c r="BB64" s="3"/>
      <c r="BC64" s="3"/>
    </row>
    <row r="65" spans="2:52" ht="12.75" hidden="1">
      <c r="B65" s="5" t="s">
        <v>4</v>
      </c>
      <c r="C65" s="3">
        <f>J10</f>
        <v>0.64</v>
      </c>
      <c r="D65" s="3">
        <f>J11</f>
        <v>0.33</v>
      </c>
      <c r="E65" s="3">
        <f>J12</f>
        <v>0.2426</v>
      </c>
      <c r="F65" s="3">
        <f>(C65*E65)/D65</f>
        <v>0.4704969696969697</v>
      </c>
      <c r="G65" s="3">
        <f>E65</f>
        <v>0.2426</v>
      </c>
      <c r="H65" s="3">
        <f>((1-C65-D65)*E65)/D65</f>
        <v>0.022054545454545434</v>
      </c>
      <c r="I65" s="12">
        <f>F65/L65</f>
        <v>0.49502239536393683</v>
      </c>
      <c r="J65" s="12">
        <f>G65/M65</f>
        <v>0.2426</v>
      </c>
      <c r="K65" s="12">
        <f>H65/N65</f>
        <v>0.020251033922817324</v>
      </c>
      <c r="L65" s="13">
        <f t="shared" si="64"/>
        <v>0.9504559270516716</v>
      </c>
      <c r="M65" s="3">
        <f t="shared" si="65"/>
        <v>1</v>
      </c>
      <c r="N65" s="3">
        <f t="shared" si="66"/>
        <v>1.0890577507598784</v>
      </c>
      <c r="O65" s="14">
        <f>IF(I65&gt;0.008856,I65^(1/3),((903.3*I65)+16)/116)</f>
        <v>0.791057918973225</v>
      </c>
      <c r="P65" s="14">
        <f>IF(J65&gt;0.008856,J65^(1/3),((903.3*J65)+16)/116)</f>
        <v>0.6236825582401185</v>
      </c>
      <c r="Q65" s="14">
        <f>IF(K65&gt;0.008856,K65^(1/3),((903.3*K65)+16)/116)</f>
        <v>0.27257272776548375</v>
      </c>
      <c r="R65" s="15">
        <f>116*P65-16</f>
        <v>56.34717675585375</v>
      </c>
      <c r="S65" s="15">
        <f>500*(O65-P65)</f>
        <v>83.68768036655322</v>
      </c>
      <c r="T65" s="15">
        <f>200*(P65-Q65)</f>
        <v>70.22196609492696</v>
      </c>
      <c r="AD65" s="63">
        <f>SQRT(($R$44-R54)^2+($S$44-S54)^2+($T$44-T54)^2)</f>
        <v>5.640387821734386</v>
      </c>
      <c r="AE65" s="63">
        <f>SQRT(($Z$44-Z54)^2+($AA$44-AA54)^2+($AB$44-AB54)^2)</f>
        <v>10.92668526669846</v>
      </c>
      <c r="AF65" s="63">
        <f t="shared" si="63"/>
        <v>3.221559230112385</v>
      </c>
      <c r="AG65" s="63">
        <f t="shared" si="67"/>
        <v>3.067598141843007</v>
      </c>
      <c r="AH65" s="1" t="s">
        <v>4</v>
      </c>
      <c r="AX65" s="1"/>
      <c r="AY65" s="30"/>
      <c r="AZ65" s="28"/>
    </row>
    <row r="66" spans="3:52" ht="12.75" hidden="1">
      <c r="C66" s="2" t="s">
        <v>72</v>
      </c>
      <c r="D66" s="2" t="s">
        <v>73</v>
      </c>
      <c r="E66" s="2" t="s">
        <v>74</v>
      </c>
      <c r="F66" s="2" t="s">
        <v>75</v>
      </c>
      <c r="G66" s="2" t="s">
        <v>76</v>
      </c>
      <c r="H66" s="2" t="s">
        <v>77</v>
      </c>
      <c r="I66" s="2" t="s">
        <v>78</v>
      </c>
      <c r="J66" s="2" t="s">
        <v>79</v>
      </c>
      <c r="K66" s="2" t="s">
        <v>80</v>
      </c>
      <c r="L66" s="2" t="s">
        <v>81</v>
      </c>
      <c r="M66" s="2" t="s">
        <v>82</v>
      </c>
      <c r="N66" s="2" t="s">
        <v>83</v>
      </c>
      <c r="O66" s="2" t="s">
        <v>84</v>
      </c>
      <c r="P66" s="2" t="s">
        <v>85</v>
      </c>
      <c r="Q66" s="2" t="s">
        <v>86</v>
      </c>
      <c r="R66" s="2" t="s">
        <v>48</v>
      </c>
      <c r="S66" s="15"/>
      <c r="T66" s="15"/>
      <c r="AQ66" s="1"/>
      <c r="AX66" s="1"/>
      <c r="AY66" s="30"/>
      <c r="AZ66" s="28"/>
    </row>
    <row r="67" spans="2:46" ht="12.75" hidden="1">
      <c r="B67" s="5" t="s">
        <v>40</v>
      </c>
      <c r="C67" s="4">
        <f aca="true" t="shared" si="68" ref="C67:C72">R37-R58</f>
        <v>-0.7728960229576529</v>
      </c>
      <c r="D67" s="9">
        <f aca="true" t="shared" si="69" ref="D67:D73">F67-G67</f>
        <v>-1.2889541384785588</v>
      </c>
      <c r="E67" s="9">
        <f aca="true" t="shared" si="70" ref="E67:E73">SQRT(ABS(H67^2+I67^2-D67^2))</f>
        <v>0.7378174845915446</v>
      </c>
      <c r="F67" s="9">
        <f aca="true" t="shared" si="71" ref="F67:F72">SQRT(S37^2+T37^2)</f>
        <v>104.54361835650995</v>
      </c>
      <c r="G67" s="9">
        <f aca="true" t="shared" si="72" ref="G67:G73">SQRT(S58^2+T58^2)</f>
        <v>105.83257249498851</v>
      </c>
      <c r="H67" s="4">
        <f aca="true" t="shared" si="73" ref="H67:I72">S37-S58</f>
        <v>-0.5082332814309041</v>
      </c>
      <c r="I67" s="4">
        <f t="shared" si="73"/>
        <v>-1.3955200977828923</v>
      </c>
      <c r="J67" s="10">
        <f>IF($F$4="CIE94-Optimal",1.7,1)</f>
        <v>1</v>
      </c>
      <c r="K67" s="9">
        <f aca="true" t="shared" si="74" ref="K67:K73">1+(P67*F67)</f>
        <v>5.704462826042947</v>
      </c>
      <c r="L67" s="9">
        <f aca="true" t="shared" si="75" ref="L67:L73">1+(Q67*F67)</f>
        <v>2.5681542753476494</v>
      </c>
      <c r="M67" s="10">
        <v>1</v>
      </c>
      <c r="N67" s="10">
        <v>1</v>
      </c>
      <c r="O67" s="10">
        <v>1</v>
      </c>
      <c r="P67">
        <v>0.045</v>
      </c>
      <c r="Q67">
        <v>0.015</v>
      </c>
      <c r="R67" s="10">
        <f aca="true" t="shared" si="76" ref="R67:R74">SQRT((C67/(M67*J67))^2+(D67/(N67*K67))^2+(E67/(O67*L67))^2)</f>
        <v>0.8549634084696806</v>
      </c>
      <c r="S67" s="15"/>
      <c r="T67" s="15"/>
      <c r="AQ67" s="1"/>
      <c r="AT67" s="3"/>
    </row>
    <row r="68" spans="2:46" ht="12.75" hidden="1">
      <c r="B68" s="5" t="s">
        <v>41</v>
      </c>
      <c r="C68" s="9">
        <f t="shared" si="68"/>
        <v>35.41709842944587</v>
      </c>
      <c r="D68" s="9">
        <f t="shared" si="69"/>
        <v>23.175724542359546</v>
      </c>
      <c r="E68" s="9">
        <f t="shared" si="70"/>
        <v>6.366487090004019</v>
      </c>
      <c r="F68" s="9">
        <f t="shared" si="71"/>
        <v>119.78188648740256</v>
      </c>
      <c r="G68" s="9">
        <f t="shared" si="72"/>
        <v>96.60616194504301</v>
      </c>
      <c r="H68" s="4">
        <f t="shared" si="73"/>
        <v>-12.827588791237815</v>
      </c>
      <c r="I68" s="4">
        <f t="shared" si="73"/>
        <v>20.324845183504458</v>
      </c>
      <c r="J68" s="10">
        <f aca="true" t="shared" si="77" ref="J68:J74">IF($F$4="CIE94-Optimal",1.7,1)</f>
        <v>1</v>
      </c>
      <c r="K68" s="9">
        <f t="shared" si="74"/>
        <v>6.390184891933115</v>
      </c>
      <c r="L68" s="9">
        <f t="shared" si="75"/>
        <v>2.7967282973110383</v>
      </c>
      <c r="M68" s="10">
        <v>1</v>
      </c>
      <c r="N68" s="10">
        <v>1</v>
      </c>
      <c r="O68" s="10">
        <v>1</v>
      </c>
      <c r="P68">
        <v>0.045</v>
      </c>
      <c r="Q68">
        <v>0.015</v>
      </c>
      <c r="R68" s="10">
        <f t="shared" si="76"/>
        <v>35.67500996027049</v>
      </c>
      <c r="S68" s="15"/>
      <c r="T68" s="15"/>
      <c r="AQ68" s="1"/>
      <c r="AT68" s="3"/>
    </row>
    <row r="69" spans="2:46" ht="12.75" hidden="1">
      <c r="B69" s="5" t="s">
        <v>42</v>
      </c>
      <c r="C69" s="4">
        <f t="shared" si="68"/>
        <v>15.749756897920406</v>
      </c>
      <c r="D69" s="9">
        <f t="shared" si="69"/>
        <v>52.721951189533144</v>
      </c>
      <c r="E69" s="9">
        <f t="shared" si="70"/>
        <v>5.800542204427365</v>
      </c>
      <c r="F69" s="9">
        <f t="shared" si="71"/>
        <v>133.81316400552683</v>
      </c>
      <c r="G69" s="9">
        <f t="shared" si="72"/>
        <v>81.09121281599369</v>
      </c>
      <c r="H69" s="4">
        <f t="shared" si="73"/>
        <v>34.91647704657541</v>
      </c>
      <c r="I69" s="4">
        <f t="shared" si="73"/>
        <v>-39.92605737801857</v>
      </c>
      <c r="J69" s="10">
        <f t="shared" si="77"/>
        <v>1</v>
      </c>
      <c r="K69" s="9">
        <f t="shared" si="74"/>
        <v>7.021592380248707</v>
      </c>
      <c r="L69" s="9">
        <f t="shared" si="75"/>
        <v>3.0071974600829026</v>
      </c>
      <c r="M69" s="10">
        <v>1</v>
      </c>
      <c r="N69" s="10">
        <v>1</v>
      </c>
      <c r="O69" s="10">
        <v>1</v>
      </c>
      <c r="P69">
        <v>0.045</v>
      </c>
      <c r="Q69">
        <v>0.015</v>
      </c>
      <c r="R69" s="10">
        <f t="shared" si="76"/>
        <v>17.554307502447777</v>
      </c>
      <c r="S69" s="15"/>
      <c r="T69" s="15"/>
      <c r="AQ69" s="1"/>
      <c r="AT69" s="3"/>
    </row>
    <row r="70" spans="2:46" ht="12.75" hidden="1">
      <c r="B70" s="5" t="s">
        <v>29</v>
      </c>
      <c r="C70" s="4">
        <f t="shared" si="68"/>
        <v>37.430627980909776</v>
      </c>
      <c r="D70" s="9">
        <f t="shared" si="69"/>
        <v>20.759218840459283</v>
      </c>
      <c r="E70" s="9">
        <f t="shared" si="70"/>
        <v>5.422478290604898</v>
      </c>
      <c r="F70" s="9">
        <f t="shared" si="71"/>
        <v>96.93446307594995</v>
      </c>
      <c r="G70" s="9">
        <f t="shared" si="72"/>
        <v>76.17524423549067</v>
      </c>
      <c r="H70" s="4">
        <f t="shared" si="73"/>
        <v>-9.33826894985912</v>
      </c>
      <c r="I70" s="4">
        <f t="shared" si="73"/>
        <v>19.31696587713138</v>
      </c>
      <c r="J70" s="10">
        <f t="shared" si="77"/>
        <v>1</v>
      </c>
      <c r="K70" s="9">
        <f t="shared" si="74"/>
        <v>5.362050838417748</v>
      </c>
      <c r="L70" s="9">
        <f t="shared" si="75"/>
        <v>2.454016946139249</v>
      </c>
      <c r="M70" s="10">
        <v>1</v>
      </c>
      <c r="N70" s="10">
        <v>1</v>
      </c>
      <c r="O70" s="10">
        <v>1</v>
      </c>
      <c r="P70">
        <v>0.045</v>
      </c>
      <c r="Q70">
        <v>0.015</v>
      </c>
      <c r="R70" s="10">
        <f t="shared" si="76"/>
        <v>37.6951317847783</v>
      </c>
      <c r="S70" s="15"/>
      <c r="T70" s="15"/>
      <c r="AQ70" s="1"/>
      <c r="AR70" s="3"/>
      <c r="AS70" s="3"/>
      <c r="AT70" s="3"/>
    </row>
    <row r="71" spans="2:46" ht="12.75" hidden="1">
      <c r="B71" s="5" t="s">
        <v>43</v>
      </c>
      <c r="C71" s="4">
        <f t="shared" si="68"/>
        <v>37.927086389807556</v>
      </c>
      <c r="D71" s="9">
        <f t="shared" si="69"/>
        <v>6.561972074002526</v>
      </c>
      <c r="E71" s="9">
        <f t="shared" si="70"/>
        <v>0.04983761647242494</v>
      </c>
      <c r="F71" s="9">
        <f t="shared" si="71"/>
        <v>50.13332846359391</v>
      </c>
      <c r="G71" s="9">
        <f t="shared" si="72"/>
        <v>43.57135638959139</v>
      </c>
      <c r="H71" s="4">
        <f t="shared" si="73"/>
        <v>-6.30841939434773</v>
      </c>
      <c r="I71" s="4">
        <f t="shared" si="73"/>
        <v>-1.8071541254198742</v>
      </c>
      <c r="J71" s="10">
        <f t="shared" si="77"/>
        <v>1</v>
      </c>
      <c r="K71" s="9">
        <f t="shared" si="74"/>
        <v>3.255999780861726</v>
      </c>
      <c r="L71" s="9">
        <f t="shared" si="75"/>
        <v>1.7519999269539086</v>
      </c>
      <c r="M71" s="10">
        <v>1</v>
      </c>
      <c r="N71" s="10">
        <v>1</v>
      </c>
      <c r="O71" s="10">
        <v>1</v>
      </c>
      <c r="P71">
        <v>0.045</v>
      </c>
      <c r="Q71">
        <v>0.015</v>
      </c>
      <c r="R71" s="10">
        <f t="shared" si="76"/>
        <v>37.980604498279966</v>
      </c>
      <c r="S71" s="15"/>
      <c r="T71" s="15"/>
      <c r="AQ71" s="1"/>
      <c r="AR71" s="3"/>
      <c r="AS71" s="3"/>
      <c r="AT71" s="3"/>
    </row>
    <row r="72" spans="2:46" ht="12.75" hidden="1">
      <c r="B72" s="5" t="s">
        <v>44</v>
      </c>
      <c r="C72" s="4">
        <f t="shared" si="68"/>
        <v>26.337048855336306</v>
      </c>
      <c r="D72" s="9">
        <f t="shared" si="69"/>
        <v>41.81170763185885</v>
      </c>
      <c r="E72" s="9">
        <f t="shared" si="70"/>
        <v>6.020218616409591</v>
      </c>
      <c r="F72" s="9">
        <f t="shared" si="71"/>
        <v>115.50667128097075</v>
      </c>
      <c r="G72" s="9">
        <f t="shared" si="72"/>
        <v>73.6949636491119</v>
      </c>
      <c r="H72" s="4">
        <f t="shared" si="73"/>
        <v>33.15204769346472</v>
      </c>
      <c r="I72" s="4">
        <f t="shared" si="73"/>
        <v>-26.180215068093858</v>
      </c>
      <c r="J72" s="10">
        <f t="shared" si="77"/>
        <v>1</v>
      </c>
      <c r="K72" s="9">
        <f t="shared" si="74"/>
        <v>6.197800207643684</v>
      </c>
      <c r="L72" s="9">
        <f t="shared" si="75"/>
        <v>2.732600069214561</v>
      </c>
      <c r="M72" s="10">
        <v>1</v>
      </c>
      <c r="N72" s="10">
        <v>1</v>
      </c>
      <c r="O72" s="10">
        <v>1</v>
      </c>
      <c r="P72">
        <v>0.045</v>
      </c>
      <c r="Q72">
        <v>0.015</v>
      </c>
      <c r="R72" s="10">
        <f t="shared" si="76"/>
        <v>27.27646028131272</v>
      </c>
      <c r="S72" s="15"/>
      <c r="T72" s="15"/>
      <c r="AQ72" s="1"/>
      <c r="AR72" s="3"/>
      <c r="AS72" s="3"/>
      <c r="AT72" s="3"/>
    </row>
    <row r="73" spans="2:46" ht="12.75" hidden="1">
      <c r="B73" s="5" t="s">
        <v>45</v>
      </c>
      <c r="C73" s="4">
        <f>$R$43-R64</f>
        <v>0</v>
      </c>
      <c r="D73" s="9">
        <f t="shared" si="69"/>
        <v>-5.694461698745948</v>
      </c>
      <c r="E73" s="9">
        <f t="shared" si="70"/>
        <v>0</v>
      </c>
      <c r="F73" s="4">
        <f>SQRT($S$43^2+$T$43^2)</f>
        <v>0</v>
      </c>
      <c r="G73" s="9">
        <f t="shared" si="72"/>
        <v>5.694461698745948</v>
      </c>
      <c r="H73" s="4">
        <f>$S$43-S64</f>
        <v>5.387769780863582</v>
      </c>
      <c r="I73" s="4">
        <f>$T$43-T64</f>
        <v>1.843591827628277</v>
      </c>
      <c r="J73" s="10">
        <f t="shared" si="77"/>
        <v>1</v>
      </c>
      <c r="K73" s="9">
        <f t="shared" si="74"/>
        <v>1</v>
      </c>
      <c r="L73" s="9">
        <f t="shared" si="75"/>
        <v>1</v>
      </c>
      <c r="M73" s="10">
        <v>1</v>
      </c>
      <c r="N73" s="10">
        <v>1</v>
      </c>
      <c r="O73" s="10">
        <v>1</v>
      </c>
      <c r="P73">
        <v>0.045</v>
      </c>
      <c r="Q73">
        <v>0.015</v>
      </c>
      <c r="R73" s="10">
        <f t="shared" si="76"/>
        <v>5.694461698745948</v>
      </c>
      <c r="AQ73" s="1"/>
      <c r="AR73" s="3"/>
      <c r="AS73" s="3"/>
      <c r="AT73" s="9"/>
    </row>
    <row r="74" spans="2:18" ht="12.75" hidden="1">
      <c r="B74" s="5" t="s">
        <v>4</v>
      </c>
      <c r="C74" s="4">
        <f>$R$44-R65</f>
        <v>-3.1142949700113007</v>
      </c>
      <c r="D74" s="9">
        <f>F74-G74</f>
        <v>-4.70267387975521</v>
      </c>
      <c r="E74" s="9">
        <f>SQRT(ABS(H74^2+I74^2-D74^2))</f>
        <v>1.97686242482388E-07</v>
      </c>
      <c r="F74" s="4">
        <f>SQRT($S$44^2+$T$44^2)</f>
        <v>104.54361835650995</v>
      </c>
      <c r="G74" s="9">
        <f>SQRT(S65^2+T65^2)</f>
        <v>109.24629223626516</v>
      </c>
      <c r="H74" s="4">
        <f>$S$44-S65</f>
        <v>-3.6024643075845404</v>
      </c>
      <c r="I74" s="4">
        <f>$T$44-T65</f>
        <v>-3.0228120239127207</v>
      </c>
      <c r="J74" s="10">
        <f t="shared" si="77"/>
        <v>1</v>
      </c>
      <c r="K74" s="9">
        <f>1+(P74*F74)</f>
        <v>5.704462826042947</v>
      </c>
      <c r="L74" s="9">
        <f>1+(Q74*F74)</f>
        <v>2.5681542753476494</v>
      </c>
      <c r="M74" s="10">
        <v>1</v>
      </c>
      <c r="N74" s="10">
        <v>1</v>
      </c>
      <c r="O74" s="10">
        <v>1</v>
      </c>
      <c r="P74">
        <v>0.045</v>
      </c>
      <c r="Q74">
        <v>0.015</v>
      </c>
      <c r="R74" s="10">
        <f t="shared" si="76"/>
        <v>3.221559230112385</v>
      </c>
    </row>
    <row r="75" spans="3:45" ht="12.75" hidden="1">
      <c r="C75" t="s">
        <v>27</v>
      </c>
      <c r="D75" t="s">
        <v>28</v>
      </c>
      <c r="E75" t="s">
        <v>29</v>
      </c>
      <c r="F75" t="s">
        <v>52</v>
      </c>
      <c r="G75" t="s">
        <v>29</v>
      </c>
      <c r="H75" t="s">
        <v>53</v>
      </c>
      <c r="I75" t="s">
        <v>27</v>
      </c>
      <c r="J75" t="s">
        <v>28</v>
      </c>
      <c r="K75" t="s">
        <v>54</v>
      </c>
      <c r="L75" t="s">
        <v>58</v>
      </c>
      <c r="M75" t="s">
        <v>59</v>
      </c>
      <c r="N75" t="s">
        <v>60</v>
      </c>
      <c r="O75" t="s">
        <v>61</v>
      </c>
      <c r="P75" t="s">
        <v>62</v>
      </c>
      <c r="Q75" t="s">
        <v>63</v>
      </c>
      <c r="R75" t="s">
        <v>49</v>
      </c>
      <c r="S75" t="s">
        <v>55</v>
      </c>
      <c r="T75" t="s">
        <v>56</v>
      </c>
      <c r="U75" t="s">
        <v>144</v>
      </c>
      <c r="V75" t="s">
        <v>75</v>
      </c>
      <c r="W75" t="s">
        <v>76</v>
      </c>
      <c r="X75" t="s">
        <v>43</v>
      </c>
      <c r="Y75" t="s">
        <v>41</v>
      </c>
      <c r="Z75" t="s">
        <v>145</v>
      </c>
      <c r="AA75" t="s">
        <v>146</v>
      </c>
      <c r="AB75" t="s">
        <v>147</v>
      </c>
      <c r="AC75" t="s">
        <v>148</v>
      </c>
      <c r="AD75" t="s">
        <v>149</v>
      </c>
      <c r="AE75" t="s">
        <v>150</v>
      </c>
      <c r="AF75" t="s">
        <v>151</v>
      </c>
      <c r="AG75" t="s">
        <v>152</v>
      </c>
      <c r="AH75" t="s">
        <v>120</v>
      </c>
      <c r="AI75" t="s">
        <v>153</v>
      </c>
      <c r="AJ75" t="s">
        <v>154</v>
      </c>
      <c r="AK75" t="s">
        <v>155</v>
      </c>
      <c r="AL75" t="s">
        <v>156</v>
      </c>
      <c r="AM75" t="s">
        <v>157</v>
      </c>
      <c r="AN75" t="s">
        <v>79</v>
      </c>
      <c r="AO75" t="s">
        <v>80</v>
      </c>
      <c r="AP75" t="s">
        <v>81</v>
      </c>
      <c r="AQ75" t="s">
        <v>158</v>
      </c>
      <c r="AR75" t="s">
        <v>159</v>
      </c>
      <c r="AS75" t="s">
        <v>160</v>
      </c>
    </row>
    <row r="76" spans="2:45" ht="12.75" hidden="1">
      <c r="B76" t="s">
        <v>40</v>
      </c>
      <c r="C76" s="3">
        <v>0.64</v>
      </c>
      <c r="D76" s="3">
        <v>0.33</v>
      </c>
      <c r="E76">
        <v>0.2126</v>
      </c>
      <c r="F76">
        <v>0.4123151515151515</v>
      </c>
      <c r="G76">
        <v>0.2126</v>
      </c>
      <c r="H76">
        <v>0.019327272727272707</v>
      </c>
      <c r="I76">
        <v>0.43380775455223813</v>
      </c>
      <c r="J76">
        <v>0.2126</v>
      </c>
      <c r="K76">
        <v>0.017746784056022105</v>
      </c>
      <c r="L76">
        <v>0.9504559270516716</v>
      </c>
      <c r="M76">
        <v>1</v>
      </c>
      <c r="N76">
        <v>1.0890577507598784</v>
      </c>
      <c r="O76">
        <v>0.7570056199269241</v>
      </c>
      <c r="P76">
        <v>0.5968351878089867</v>
      </c>
      <c r="Q76">
        <v>0.26083941745391553</v>
      </c>
      <c r="R76">
        <v>53.23288178584245</v>
      </c>
      <c r="S76" s="4">
        <v>80.08521605896868</v>
      </c>
      <c r="T76" s="4">
        <v>67.19915407101423</v>
      </c>
      <c r="U76" s="4">
        <v>54.7900292708481</v>
      </c>
      <c r="V76">
        <v>104.54361835650995</v>
      </c>
      <c r="W76">
        <v>109.24629223626516</v>
      </c>
      <c r="X76">
        <v>106.89495529638756</v>
      </c>
      <c r="Y76" s="3">
        <v>9.567690843426124E-06</v>
      </c>
      <c r="Z76">
        <v>80.08598228955707</v>
      </c>
      <c r="AA76">
        <v>83.68848106440637</v>
      </c>
      <c r="AB76">
        <v>104.54361835650995</v>
      </c>
      <c r="AC76">
        <v>109.24690560882983</v>
      </c>
      <c r="AD76">
        <v>106.8952619826699</v>
      </c>
      <c r="AE76">
        <v>39.999595226091266</v>
      </c>
      <c r="AF76">
        <v>39.999595226091245</v>
      </c>
      <c r="AG76">
        <v>39.99959522609126</v>
      </c>
      <c r="AH76" s="13">
        <v>0.7105438407794945</v>
      </c>
      <c r="AI76" s="3">
        <v>-2.1316282072803006E-14</v>
      </c>
      <c r="AJ76">
        <v>3.1142949700113007</v>
      </c>
      <c r="AK76" s="3">
        <v>4.703287252319882</v>
      </c>
      <c r="AL76" s="3">
        <v>-3.975961423744039E-14</v>
      </c>
      <c r="AM76">
        <v>22.9443804155816</v>
      </c>
      <c r="AN76">
        <v>1.0525187550945474</v>
      </c>
      <c r="AO76">
        <v>5.810286789220145</v>
      </c>
      <c r="AP76">
        <v>2.1393032814437136</v>
      </c>
      <c r="AQ76">
        <v>1.2668600433318632E-37</v>
      </c>
      <c r="AR76">
        <v>0.9999808650025994</v>
      </c>
      <c r="AS76">
        <v>-8.84418233059537E-39</v>
      </c>
    </row>
    <row r="77" ht="12.75" hidden="1"/>
    <row r="78" spans="18:19" ht="12.75" hidden="1">
      <c r="R78" s="18" t="s">
        <v>89</v>
      </c>
      <c r="S78" s="19">
        <f>25^7</f>
        <v>6103515625</v>
      </c>
    </row>
    <row r="79" spans="18:19" ht="12.75" hidden="1">
      <c r="R79" s="18" t="s">
        <v>90</v>
      </c>
      <c r="S79" s="18">
        <v>1</v>
      </c>
    </row>
    <row r="80" spans="18:19" ht="12.75" hidden="1">
      <c r="R80" s="18" t="s">
        <v>91</v>
      </c>
      <c r="S80" s="18">
        <v>1</v>
      </c>
    </row>
    <row r="81" spans="18:19" ht="12.75" hidden="1">
      <c r="R81" s="18" t="s">
        <v>92</v>
      </c>
      <c r="S81" s="18">
        <v>1</v>
      </c>
    </row>
    <row r="82" ht="12.75" hidden="1"/>
    <row r="83" ht="12.75" hidden="1">
      <c r="C83" s="20" t="s">
        <v>125</v>
      </c>
    </row>
    <row r="84" spans="3:49" ht="12.75" hidden="1">
      <c r="C84" s="2" t="s">
        <v>27</v>
      </c>
      <c r="D84" s="2" t="s">
        <v>28</v>
      </c>
      <c r="E84" s="2" t="s">
        <v>29</v>
      </c>
      <c r="F84" s="2" t="s">
        <v>52</v>
      </c>
      <c r="G84" s="2" t="s">
        <v>29</v>
      </c>
      <c r="H84" s="2" t="s">
        <v>53</v>
      </c>
      <c r="I84" s="2" t="s">
        <v>27</v>
      </c>
      <c r="J84" s="2" t="s">
        <v>28</v>
      </c>
      <c r="K84" s="2" t="s">
        <v>54</v>
      </c>
      <c r="L84" s="2" t="s">
        <v>58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63</v>
      </c>
      <c r="R84" s="21" t="s">
        <v>93</v>
      </c>
      <c r="S84" s="21" t="s">
        <v>94</v>
      </c>
      <c r="T84" s="21" t="s">
        <v>95</v>
      </c>
      <c r="U84" s="21" t="s">
        <v>75</v>
      </c>
      <c r="V84" s="21" t="s">
        <v>76</v>
      </c>
      <c r="W84" s="21" t="s">
        <v>99</v>
      </c>
      <c r="X84" s="21" t="s">
        <v>41</v>
      </c>
      <c r="Y84" s="21" t="s">
        <v>100</v>
      </c>
      <c r="Z84" s="21" t="s">
        <v>101</v>
      </c>
      <c r="AA84" s="21" t="s">
        <v>102</v>
      </c>
      <c r="AB84" s="21" t="s">
        <v>106</v>
      </c>
      <c r="AC84" s="21" t="s">
        <v>108</v>
      </c>
      <c r="AD84" s="21" t="s">
        <v>110</v>
      </c>
      <c r="AE84" s="21" t="s">
        <v>111</v>
      </c>
      <c r="AF84" s="22" t="s">
        <v>112</v>
      </c>
      <c r="AG84" s="22" t="s">
        <v>113</v>
      </c>
      <c r="AH84" s="21" t="s">
        <v>114</v>
      </c>
      <c r="AI84" s="21" t="s">
        <v>115</v>
      </c>
      <c r="AJ84" s="21" t="s">
        <v>116</v>
      </c>
      <c r="AK84" s="21" t="s">
        <v>117</v>
      </c>
      <c r="AL84" s="21" t="s">
        <v>118</v>
      </c>
      <c r="AM84" s="21" t="s">
        <v>119</v>
      </c>
      <c r="AN84" s="21" t="s">
        <v>120</v>
      </c>
      <c r="AO84" s="21" t="s">
        <v>121</v>
      </c>
      <c r="AP84" s="21" t="s">
        <v>122</v>
      </c>
      <c r="AQ84" s="21" t="s">
        <v>123</v>
      </c>
      <c r="AR84" s="21" t="s">
        <v>124</v>
      </c>
      <c r="AS84" s="2" t="s">
        <v>127</v>
      </c>
      <c r="AT84" s="21"/>
      <c r="AU84" s="21"/>
      <c r="AV84" s="21"/>
      <c r="AW84" s="21"/>
    </row>
    <row r="85" spans="2:50" ht="12.75" hidden="1">
      <c r="B85" s="5" t="s">
        <v>40</v>
      </c>
      <c r="C85" s="3">
        <f aca="true" t="shared" si="78" ref="C85:E91">B7</f>
        <v>0.64</v>
      </c>
      <c r="D85" s="3">
        <f t="shared" si="78"/>
        <v>0.33</v>
      </c>
      <c r="E85" s="3">
        <f t="shared" si="78"/>
        <v>0.2126</v>
      </c>
      <c r="F85" s="12">
        <f aca="true" t="shared" si="79" ref="F85:F92">(C85*E85)/D85</f>
        <v>0.4123151515151515</v>
      </c>
      <c r="G85" s="12">
        <f aca="true" t="shared" si="80" ref="G85:G92">E85</f>
        <v>0.2126</v>
      </c>
      <c r="H85" s="12">
        <f aca="true" t="shared" si="81" ref="H85:H92">(1-C85-D85)*E85/D85</f>
        <v>0.019327272727272707</v>
      </c>
      <c r="I85" s="12">
        <f>F85/L85</f>
        <v>0.43380775455223813</v>
      </c>
      <c r="J85" s="12">
        <f>G85/M85</f>
        <v>0.2126</v>
      </c>
      <c r="K85" s="26">
        <f>H85/N85</f>
        <v>0.017746784056022105</v>
      </c>
      <c r="L85" s="26">
        <f aca="true" t="shared" si="82" ref="L85:L92">$F$91</f>
        <v>0.9504559270516716</v>
      </c>
      <c r="M85" s="14">
        <v>1</v>
      </c>
      <c r="N85" s="14">
        <f aca="true" t="shared" si="83" ref="N85:N92">$H$91</f>
        <v>1.0890577507598784</v>
      </c>
      <c r="O85" s="12">
        <f>IF(I85&gt;0.008856,I85^(1/3),((903.3*I85)+16)/116)</f>
        <v>0.7570056199269241</v>
      </c>
      <c r="P85" s="14">
        <f>IF(J85&gt;0.008856,J85^(1/3),((903.3*J85)+16)/116)</f>
        <v>0.5968351878089867</v>
      </c>
      <c r="Q85" s="14">
        <f>IF(K85&gt;0.008856,K85^(1/3),((903.3*K85)+16)/116)</f>
        <v>0.26083941745391553</v>
      </c>
      <c r="R85" s="25">
        <f>116*P85-16</f>
        <v>53.23288178584245</v>
      </c>
      <c r="S85" s="23">
        <f>500*(O85-P85)</f>
        <v>80.08521605896868</v>
      </c>
      <c r="T85" s="23">
        <f>200*(P85-Q85)</f>
        <v>67.19915407101423</v>
      </c>
      <c r="U85" s="25">
        <f aca="true" t="shared" si="84" ref="U85:U92">SQRT(S85^2+T85^2)</f>
        <v>104.54361835650995</v>
      </c>
      <c r="V85" s="25">
        <f aca="true" t="shared" si="85" ref="V85:V91">SQRT(S96^2+T96^2)</f>
        <v>105.83257249498851</v>
      </c>
      <c r="W85" s="25">
        <f aca="true" t="shared" si="86" ref="W85:W91">AVERAGE(U85:V85)</f>
        <v>105.18809542574922</v>
      </c>
      <c r="X85" s="25">
        <f aca="true" t="shared" si="87" ref="X85:X92">0.5*(1-SQRT(W85^7/(W85^7+$S$78)))</f>
        <v>1.0708779471013674E-05</v>
      </c>
      <c r="Y85" s="25">
        <f aca="true" t="shared" si="88" ref="Y85:Y90">R85</f>
        <v>53.23288178584245</v>
      </c>
      <c r="Z85" s="25">
        <f aca="true" t="shared" si="89" ref="Z85:Z90">(1+$X85)*S85</f>
        <v>80.08607367388635</v>
      </c>
      <c r="AA85" s="25">
        <f aca="true" t="shared" si="90" ref="AA85:AA90">T85</f>
        <v>67.19915407101423</v>
      </c>
      <c r="AB85" s="25">
        <f aca="true" t="shared" si="91" ref="AB85:AB91">SQRT(Z85^2+AA85^2)</f>
        <v>104.54427533040277</v>
      </c>
      <c r="AC85" s="38">
        <f aca="true" t="shared" si="92" ref="AC85:AC91">IF(AND(Z85=0,AA85=0),0,IF(AA85&gt;=0,DEGREES(ATAN2(Z85,AA85)),DEGREES(ATAN2(Z85,AA85))+360))</f>
        <v>39.999563033351066</v>
      </c>
      <c r="AD85" s="25">
        <f>IF(AV85=0,Y96-AC85,IF(AV85=1,Y96-AC85-360,Y96+360-AC85))</f>
        <v>0.4018955986059396</v>
      </c>
      <c r="AE85" s="25">
        <f aca="true" t="shared" si="93" ref="AE85:AE91">U96-Y85</f>
        <v>0.7728960229576529</v>
      </c>
      <c r="AF85" s="25">
        <f aca="true" t="shared" si="94" ref="AF85:AF91">(X96-AB85)</f>
        <v>1.28895440019636</v>
      </c>
      <c r="AG85" s="25">
        <f aca="true" t="shared" si="95" ref="AG85:AG91">(2*SQRT(AB85*X96)*SIN(RADIANS(AD85/2)))</f>
        <v>0.7378207764033208</v>
      </c>
      <c r="AH85" s="25">
        <f aca="true" t="shared" si="96" ref="AH85:AH91">AVERAGE(Y85,U96)</f>
        <v>53.61932979732128</v>
      </c>
      <c r="AI85" s="25">
        <f aca="true" t="shared" si="97" ref="AI85:AI91">AVERAGE(AB85,X96)</f>
        <v>105.18875253050095</v>
      </c>
      <c r="AJ85" s="107">
        <f aca="true" t="shared" si="98" ref="AJ85:AJ91">AVERAGE(AC85,Y96)</f>
        <v>40.20051083265403</v>
      </c>
      <c r="AK85" s="38">
        <f>(AH85-50)^2</f>
        <v>13.099548181777683</v>
      </c>
      <c r="AL85" s="25">
        <f aca="true" t="shared" si="99" ref="AL85:AL92">1+(0.015*AK85/SQRT(20+AK85))</f>
        <v>1.0341536043354627</v>
      </c>
      <c r="AM85" s="25">
        <f>1+0.045*AI85</f>
        <v>5.733493863872543</v>
      </c>
      <c r="AN85" s="25">
        <f>1-0.17*COS(RADIANS(AJ85-30))+0.24*COS(RADIANS(2*AJ85))+0.32*COS(RADIANS(3*AJ85+6))-0.2*COS(RADIANS(4*AJ85-63))</f>
        <v>0.709058644393443</v>
      </c>
      <c r="AO85" s="25">
        <f>1+0.015*AI85*AN85</f>
        <v>2.1187749141207153</v>
      </c>
      <c r="AP85" s="25">
        <f aca="true" t="shared" si="100" ref="AP85:AP91">30*EXP(-1*((AJ85-275)/25)^2)</f>
        <v>1.4733896655801608E-37</v>
      </c>
      <c r="AQ85" s="25">
        <f>SQRT(AB85^7/(AB85^7+25^7))</f>
        <v>0.9999776419612803</v>
      </c>
      <c r="AR85" s="25">
        <f>-SIN(RADIANS(2*AP85))*AQ85</f>
        <v>-5.142985176213748E-39</v>
      </c>
      <c r="AS85" s="10">
        <f>SQRT((AE85/AL85)^2+(AF85/AM85)^2+(AG85/AO85)^2+AR85*(AF85/AM85)*(AG85/AM85))</f>
        <v>0.8546151450189275</v>
      </c>
      <c r="AT85" s="23"/>
      <c r="AU85" s="25"/>
      <c r="AV85" s="39"/>
      <c r="AW85" s="39"/>
      <c r="AX85" s="10"/>
    </row>
    <row r="86" spans="2:50" ht="12.75" hidden="1">
      <c r="B86" s="5" t="s">
        <v>41</v>
      </c>
      <c r="C86" s="3">
        <f t="shared" si="78"/>
        <v>0.3</v>
      </c>
      <c r="D86" s="3">
        <f t="shared" si="78"/>
        <v>0.6</v>
      </c>
      <c r="E86" s="3">
        <f t="shared" si="78"/>
        <v>0.7152</v>
      </c>
      <c r="F86" s="12">
        <f t="shared" si="79"/>
        <v>0.3576</v>
      </c>
      <c r="G86" s="12">
        <f t="shared" si="80"/>
        <v>0.7152</v>
      </c>
      <c r="H86" s="12">
        <f t="shared" si="81"/>
        <v>0.11919999999999996</v>
      </c>
      <c r="I86" s="12">
        <f aca="true" t="shared" si="101" ref="I86:K90">F86/L86</f>
        <v>0.37624048608890315</v>
      </c>
      <c r="J86" s="12">
        <f t="shared" si="101"/>
        <v>0.7152</v>
      </c>
      <c r="K86" s="12">
        <f t="shared" si="101"/>
        <v>0.10945241417806303</v>
      </c>
      <c r="L86" s="26">
        <f t="shared" si="82"/>
        <v>0.9504559270516716</v>
      </c>
      <c r="M86" s="14">
        <v>1</v>
      </c>
      <c r="N86" s="14">
        <f t="shared" si="83"/>
        <v>1.0890577507598784</v>
      </c>
      <c r="O86" s="12">
        <f aca="true" t="shared" si="102" ref="O86:Q90">IF(I86&gt;0.008856,I86^(1/3),((903.3*I86)+16)/116)</f>
        <v>0.7219190613304965</v>
      </c>
      <c r="P86" s="12">
        <f t="shared" si="102"/>
        <v>0.894284771323657</v>
      </c>
      <c r="Q86" s="12">
        <f t="shared" si="102"/>
        <v>0.4783455980326752</v>
      </c>
      <c r="R86" s="23">
        <f aca="true" t="shared" si="103" ref="R86:R92">116*P86-16</f>
        <v>87.73703347354422</v>
      </c>
      <c r="S86" s="23">
        <f aca="true" t="shared" si="104" ref="S86:S92">500*(O86-P86)</f>
        <v>-86.18285499658023</v>
      </c>
      <c r="T86" s="23">
        <f aca="true" t="shared" si="105" ref="T86:T92">200*(P86-Q86)</f>
        <v>83.18783465819637</v>
      </c>
      <c r="U86" s="25">
        <f t="shared" si="84"/>
        <v>119.78188648740256</v>
      </c>
      <c r="V86" s="25">
        <f t="shared" si="85"/>
        <v>96.60616194504301</v>
      </c>
      <c r="W86" s="25">
        <f t="shared" si="86"/>
        <v>108.19402421622279</v>
      </c>
      <c r="X86" s="25">
        <f t="shared" si="87"/>
        <v>8.791959792919801E-06</v>
      </c>
      <c r="Y86" s="25">
        <f t="shared" si="88"/>
        <v>87.73703347354422</v>
      </c>
      <c r="Z86" s="25">
        <f t="shared" si="89"/>
        <v>-86.1836127127762</v>
      </c>
      <c r="AA86" s="25">
        <f t="shared" si="90"/>
        <v>83.18783465819637</v>
      </c>
      <c r="AB86" s="25">
        <f t="shared" si="91"/>
        <v>119.7824316640183</v>
      </c>
      <c r="AC86" s="38">
        <f t="shared" si="92"/>
        <v>136.01332039749494</v>
      </c>
      <c r="AD86" s="25">
        <f>IF(AV86=0,Y97-AC86,IF(AV86=1,Y97-AC86-360,Y97+360-AC86))</f>
        <v>3.391466645918939</v>
      </c>
      <c r="AE86" s="25">
        <f t="shared" si="93"/>
        <v>-35.41709842944587</v>
      </c>
      <c r="AF86" s="25">
        <f t="shared" si="94"/>
        <v>-23.175780003003794</v>
      </c>
      <c r="AG86" s="25">
        <f t="shared" si="95"/>
        <v>6.366512434404016</v>
      </c>
      <c r="AH86" s="25">
        <f t="shared" si="96"/>
        <v>70.02848425882128</v>
      </c>
      <c r="AI86" s="25">
        <f t="shared" si="97"/>
        <v>108.1945416625164</v>
      </c>
      <c r="AJ86" s="107">
        <f t="shared" si="98"/>
        <v>137.7090537204544</v>
      </c>
      <c r="AK86" s="38">
        <f aca="true" t="shared" si="106" ref="AK86:AK91">(AH86-50)^2</f>
        <v>401.1401817058518</v>
      </c>
      <c r="AL86" s="25">
        <f t="shared" si="99"/>
        <v>1.2932068321981722</v>
      </c>
      <c r="AM86" s="25">
        <f aca="true" t="shared" si="107" ref="AM86:AM91">1+0.045*AI86</f>
        <v>5.868754374813238</v>
      </c>
      <c r="AN86" s="25">
        <f aca="true" t="shared" si="108" ref="AN86:AN91">1-0.17*COS(RADIANS(AJ86-30))+0.24*COS(RADIANS(2*AJ86))+0.32*COS(RADIANS(3*AJ86+6))-0.2*COS(RADIANS(4*AJ86-63))</f>
        <v>1.3612570061541038</v>
      </c>
      <c r="AO86" s="25">
        <f>1+0.015*AI86*AN86</f>
        <v>3.209208667985988</v>
      </c>
      <c r="AP86" s="25">
        <f t="shared" si="100"/>
        <v>2.396794474704112E-12</v>
      </c>
      <c r="AQ86" s="25">
        <f aca="true" t="shared" si="109" ref="AQ86:AQ92">SQRT(AB86^7/(AB86^7+25^7))</f>
        <v>0.9999913743353664</v>
      </c>
      <c r="AR86" s="25">
        <f aca="true" t="shared" si="110" ref="AR86:AR91">-SIN(RADIANS(2*AP86))*AQ86</f>
        <v>-8.366318849755848E-14</v>
      </c>
      <c r="AS86" s="10">
        <f>SQRT((AE86/AL86)^2+(AF86/AM86)^2+(AG86/AO86)^2+AR86*(AF86/AM86)*(AG86/AM86))</f>
        <v>27.741302189704403</v>
      </c>
      <c r="AT86" s="23"/>
      <c r="AU86" s="25"/>
      <c r="AV86" s="39"/>
      <c r="AW86" s="39"/>
      <c r="AX86" s="10"/>
    </row>
    <row r="87" spans="2:50" ht="12.75" hidden="1">
      <c r="B87" s="5" t="s">
        <v>42</v>
      </c>
      <c r="C87" s="3">
        <f t="shared" si="78"/>
        <v>0.15</v>
      </c>
      <c r="D87" s="3">
        <f t="shared" si="78"/>
        <v>0.06</v>
      </c>
      <c r="E87" s="3">
        <f t="shared" si="78"/>
        <v>0.0722</v>
      </c>
      <c r="F87" s="12">
        <f t="shared" si="79"/>
        <v>0.1805</v>
      </c>
      <c r="G87" s="12">
        <f t="shared" si="80"/>
        <v>0.0722</v>
      </c>
      <c r="H87" s="12">
        <f t="shared" si="81"/>
        <v>0.9506333333333334</v>
      </c>
      <c r="I87" s="12">
        <f t="shared" si="101"/>
        <v>0.1899088583306684</v>
      </c>
      <c r="J87" s="12">
        <f t="shared" si="101"/>
        <v>0.0722</v>
      </c>
      <c r="K87" s="12">
        <f t="shared" si="101"/>
        <v>0.8728952460694019</v>
      </c>
      <c r="L87" s="26">
        <f t="shared" si="82"/>
        <v>0.9504559270516716</v>
      </c>
      <c r="M87" s="14">
        <v>1</v>
      </c>
      <c r="N87" s="14">
        <f t="shared" si="83"/>
        <v>1.0890577507598784</v>
      </c>
      <c r="O87" s="12">
        <f t="shared" si="102"/>
        <v>0.5747977696699993</v>
      </c>
      <c r="P87" s="12">
        <f t="shared" si="102"/>
        <v>0.41640160920042657</v>
      </c>
      <c r="Q87" s="12">
        <f t="shared" si="102"/>
        <v>0.9556980709979792</v>
      </c>
      <c r="R87" s="23">
        <f t="shared" si="103"/>
        <v>32.302586667249486</v>
      </c>
      <c r="S87" s="23">
        <f t="shared" si="104"/>
        <v>79.19808023478636</v>
      </c>
      <c r="T87" s="23">
        <f t="shared" si="105"/>
        <v>-107.85929235951053</v>
      </c>
      <c r="U87" s="25">
        <f t="shared" si="84"/>
        <v>133.81316400552683</v>
      </c>
      <c r="V87" s="25">
        <f t="shared" si="85"/>
        <v>81.09121281599369</v>
      </c>
      <c r="W87" s="25">
        <f t="shared" si="86"/>
        <v>107.45218841076026</v>
      </c>
      <c r="X87" s="25">
        <f t="shared" si="87"/>
        <v>9.225739651730347E-06</v>
      </c>
      <c r="Y87" s="25">
        <f t="shared" si="88"/>
        <v>32.302586667249486</v>
      </c>
      <c r="Z87" s="25">
        <f t="shared" si="89"/>
        <v>79.19881089565553</v>
      </c>
      <c r="AA87" s="25">
        <f t="shared" si="90"/>
        <v>-107.85929235951053</v>
      </c>
      <c r="AB87" s="25">
        <f t="shared" si="91"/>
        <v>133.81359645260332</v>
      </c>
      <c r="AC87" s="38">
        <f t="shared" si="92"/>
        <v>306.28905542935274</v>
      </c>
      <c r="AD87" s="25">
        <f>IF(AV87=0,Y98-AC87,IF(AV87=1,Y98-AC87-360,Y98+360-AC87))</f>
        <v>-3.1908944683967206</v>
      </c>
      <c r="AE87" s="25">
        <f t="shared" si="93"/>
        <v>-15.749756897920406</v>
      </c>
      <c r="AF87" s="25">
        <f t="shared" si="94"/>
        <v>-52.722160548986395</v>
      </c>
      <c r="AG87" s="25">
        <f t="shared" si="95"/>
        <v>-5.800578381493634</v>
      </c>
      <c r="AH87" s="25">
        <f t="shared" si="96"/>
        <v>24.427708218289283</v>
      </c>
      <c r="AI87" s="25">
        <f t="shared" si="97"/>
        <v>107.45251617811013</v>
      </c>
      <c r="AJ87" s="107">
        <f t="shared" si="98"/>
        <v>304.6936081951544</v>
      </c>
      <c r="AK87" s="38">
        <f t="shared" si="106"/>
        <v>653.9421069689495</v>
      </c>
      <c r="AL87" s="25">
        <f t="shared" si="99"/>
        <v>1.3778498599918865</v>
      </c>
      <c r="AM87" s="25">
        <f t="shared" si="107"/>
        <v>5.835363228014955</v>
      </c>
      <c r="AN87" s="25">
        <f t="shared" si="108"/>
        <v>0.5519022970674348</v>
      </c>
      <c r="AO87" s="25">
        <f>1+0.015*AI87*AN87</f>
        <v>1.88954935756562</v>
      </c>
      <c r="AP87" s="25">
        <f t="shared" si="100"/>
        <v>7.318905488952994</v>
      </c>
      <c r="AQ87" s="25">
        <f t="shared" si="109"/>
        <v>0.9999960276658417</v>
      </c>
      <c r="AR87" s="25">
        <f t="shared" si="110"/>
        <v>-0.2527069159660846</v>
      </c>
      <c r="AS87" s="10">
        <f>SQRT((AE87/AL87)^2+(AF87/AM87)^2+(AG87/AO87)^2+AR87*(AF87/AM87)*(AG87/AM87))</f>
        <v>14.813667751310042</v>
      </c>
      <c r="AT87" s="23"/>
      <c r="AU87" s="25"/>
      <c r="AV87" s="39"/>
      <c r="AW87" s="39"/>
      <c r="AX87" s="10"/>
    </row>
    <row r="88" spans="2:50" ht="12.75" hidden="1">
      <c r="B88" s="5" t="s">
        <v>29</v>
      </c>
      <c r="C88" s="3">
        <f t="shared" si="78"/>
        <v>0.4193</v>
      </c>
      <c r="D88" s="3">
        <f t="shared" si="78"/>
        <v>0.5053</v>
      </c>
      <c r="E88" s="3">
        <f t="shared" si="78"/>
        <v>0.9278</v>
      </c>
      <c r="F88" s="12">
        <f t="shared" si="79"/>
        <v>0.7698922224421136</v>
      </c>
      <c r="G88" s="12">
        <f t="shared" si="80"/>
        <v>0.9278</v>
      </c>
      <c r="H88" s="12">
        <f t="shared" si="81"/>
        <v>0.1384447259054028</v>
      </c>
      <c r="I88" s="12">
        <f t="shared" si="101"/>
        <v>0.8100241163525917</v>
      </c>
      <c r="J88" s="12">
        <f t="shared" si="101"/>
        <v>0.9278</v>
      </c>
      <c r="K88" s="12">
        <f t="shared" si="101"/>
        <v>0.1271234016826054</v>
      </c>
      <c r="L88" s="26">
        <f t="shared" si="82"/>
        <v>0.9504559270516716</v>
      </c>
      <c r="M88" s="14">
        <v>1</v>
      </c>
      <c r="N88" s="14">
        <f t="shared" si="83"/>
        <v>1.0890577507598784</v>
      </c>
      <c r="O88" s="12">
        <f t="shared" si="102"/>
        <v>0.932179002943074</v>
      </c>
      <c r="P88" s="12">
        <f t="shared" si="102"/>
        <v>0.9753297153560111</v>
      </c>
      <c r="Q88" s="12">
        <f t="shared" si="102"/>
        <v>0.5028153204327797</v>
      </c>
      <c r="R88" s="23">
        <f t="shared" si="103"/>
        <v>97.13824698129729</v>
      </c>
      <c r="S88" s="23">
        <f t="shared" si="104"/>
        <v>-21.575356206468555</v>
      </c>
      <c r="T88" s="23">
        <f t="shared" si="105"/>
        <v>94.50287898464629</v>
      </c>
      <c r="U88" s="25">
        <f t="shared" si="84"/>
        <v>96.93446307594995</v>
      </c>
      <c r="V88" s="25">
        <f t="shared" si="85"/>
        <v>76.17524423549067</v>
      </c>
      <c r="W88" s="25">
        <f t="shared" si="86"/>
        <v>86.55485365572031</v>
      </c>
      <c r="X88" s="25">
        <f t="shared" si="87"/>
        <v>4.192040447620338E-05</v>
      </c>
      <c r="Y88" s="25">
        <f t="shared" si="88"/>
        <v>97.13824698129729</v>
      </c>
      <c r="Z88" s="25">
        <f t="shared" si="89"/>
        <v>-21.57626065412745</v>
      </c>
      <c r="AA88" s="25">
        <f t="shared" si="90"/>
        <v>94.50287898464629</v>
      </c>
      <c r="AB88" s="25">
        <f t="shared" si="91"/>
        <v>96.9346643889664</v>
      </c>
      <c r="AC88" s="38">
        <f t="shared" si="92"/>
        <v>102.86094339419412</v>
      </c>
      <c r="AD88" s="25">
        <f>IF(AV88=0,Y99-AC88,IF(AV88=1,Y99-AC88-360,Y99+360-AC88))</f>
        <v>-3.6162909254235984</v>
      </c>
      <c r="AE88" s="25">
        <f t="shared" si="93"/>
        <v>-37.430627980909776</v>
      </c>
      <c r="AF88" s="25">
        <f t="shared" si="94"/>
        <v>-20.759337744106404</v>
      </c>
      <c r="AG88" s="25">
        <f t="shared" si="95"/>
        <v>-5.422697248599767</v>
      </c>
      <c r="AH88" s="25">
        <f t="shared" si="96"/>
        <v>78.4229329908424</v>
      </c>
      <c r="AI88" s="25">
        <f t="shared" si="97"/>
        <v>86.5549955169132</v>
      </c>
      <c r="AJ88" s="107">
        <f t="shared" si="98"/>
        <v>101.05279793148233</v>
      </c>
      <c r="AK88" s="38">
        <f t="shared" si="106"/>
        <v>807.8631198019172</v>
      </c>
      <c r="AL88" s="25">
        <f t="shared" si="99"/>
        <v>1.4211625761858673</v>
      </c>
      <c r="AM88" s="25">
        <f t="shared" si="107"/>
        <v>4.894974798261094</v>
      </c>
      <c r="AN88" s="25">
        <f t="shared" si="108"/>
        <v>0.7351703146317966</v>
      </c>
      <c r="AO88" s="25">
        <f>1+0.015*AI88*AN88</f>
        <v>1.9544899493068422</v>
      </c>
      <c r="AP88" s="25">
        <f t="shared" si="100"/>
        <v>2.83117740583675E-20</v>
      </c>
      <c r="AQ88" s="25">
        <f t="shared" si="109"/>
        <v>0.9999620535137512</v>
      </c>
      <c r="AR88" s="25">
        <f t="shared" si="110"/>
        <v>-9.88229847525099E-22</v>
      </c>
      <c r="AS88" s="10">
        <f>SQRT((AE88/AL88)^2+(AF88/AM88)^2+(AG88/AO88)^2+AR88*(AF88/AM88)*(AG88/AM88))</f>
        <v>26.821174893653886</v>
      </c>
      <c r="AT88" s="23"/>
      <c r="AU88" s="25"/>
      <c r="AV88" s="39"/>
      <c r="AW88" s="39"/>
      <c r="AX88" s="10"/>
    </row>
    <row r="89" spans="2:50" ht="12.75" hidden="1">
      <c r="B89" s="5" t="s">
        <v>43</v>
      </c>
      <c r="C89" s="3">
        <f t="shared" si="78"/>
        <v>0.2246</v>
      </c>
      <c r="D89" s="3">
        <f t="shared" si="78"/>
        <v>0.3287</v>
      </c>
      <c r="E89" s="3">
        <f t="shared" si="78"/>
        <v>0.7874</v>
      </c>
      <c r="F89" s="12">
        <f t="shared" si="79"/>
        <v>0.538028719196836</v>
      </c>
      <c r="G89" s="12">
        <f t="shared" si="80"/>
        <v>0.7874</v>
      </c>
      <c r="H89" s="12">
        <f t="shared" si="81"/>
        <v>1.0700686948585336</v>
      </c>
      <c r="I89" s="12">
        <f t="shared" si="101"/>
        <v>0.5660743479877169</v>
      </c>
      <c r="J89" s="12">
        <f t="shared" si="101"/>
        <v>0.7874</v>
      </c>
      <c r="K89" s="12">
        <f t="shared" si="101"/>
        <v>0.9825637750724464</v>
      </c>
      <c r="L89" s="26">
        <f t="shared" si="82"/>
        <v>0.9504559270516716</v>
      </c>
      <c r="M89" s="14">
        <v>1</v>
      </c>
      <c r="N89" s="14">
        <f t="shared" si="83"/>
        <v>1.0890577507598784</v>
      </c>
      <c r="O89" s="12">
        <f t="shared" si="102"/>
        <v>0.8272266012901605</v>
      </c>
      <c r="P89" s="12">
        <f t="shared" si="102"/>
        <v>0.9234182854264088</v>
      </c>
      <c r="Q89" s="12">
        <f t="shared" si="102"/>
        <v>0.9941538137337335</v>
      </c>
      <c r="R89" s="23">
        <f t="shared" si="103"/>
        <v>91.11652110946342</v>
      </c>
      <c r="S89" s="23">
        <f t="shared" si="104"/>
        <v>-48.09584206812417</v>
      </c>
      <c r="T89" s="23">
        <f t="shared" si="105"/>
        <v>-14.14710566146493</v>
      </c>
      <c r="U89" s="25">
        <f t="shared" si="84"/>
        <v>50.13332846359391</v>
      </c>
      <c r="V89" s="25">
        <f t="shared" si="85"/>
        <v>43.57135638959139</v>
      </c>
      <c r="W89" s="25">
        <f t="shared" si="86"/>
        <v>46.85234242659265</v>
      </c>
      <c r="X89" s="25">
        <f t="shared" si="87"/>
        <v>0.0030507869442030766</v>
      </c>
      <c r="Y89" s="25">
        <f t="shared" si="88"/>
        <v>91.11652110946342</v>
      </c>
      <c r="Z89" s="25">
        <f t="shared" si="89"/>
        <v>-48.24257223517606</v>
      </c>
      <c r="AA89" s="25">
        <f t="shared" si="90"/>
        <v>-14.14710566146493</v>
      </c>
      <c r="AB89" s="25">
        <f t="shared" si="91"/>
        <v>50.274112368721475</v>
      </c>
      <c r="AC89" s="38">
        <f t="shared" si="92"/>
        <v>196.3437437547132</v>
      </c>
      <c r="AD89" s="25">
        <f>IF(AV89=0,Y100-AC89,IF(AV89=1,Y100-AC89-360,Y100+360-AC89))</f>
        <v>0.060940224298406065</v>
      </c>
      <c r="AE89" s="25">
        <f t="shared" si="93"/>
        <v>-37.927086389807556</v>
      </c>
      <c r="AF89" s="25">
        <f t="shared" si="94"/>
        <v>-6.580476112736356</v>
      </c>
      <c r="AG89" s="25">
        <f t="shared" si="95"/>
        <v>0.04984971683452061</v>
      </c>
      <c r="AH89" s="25">
        <f t="shared" si="96"/>
        <v>72.15297791455964</v>
      </c>
      <c r="AI89" s="25">
        <f t="shared" si="97"/>
        <v>46.983874312353294</v>
      </c>
      <c r="AJ89" s="107">
        <f t="shared" si="98"/>
        <v>196.3742138668624</v>
      </c>
      <c r="AK89" s="38">
        <f t="shared" si="106"/>
        <v>490.7544304829673</v>
      </c>
      <c r="AL89" s="25">
        <f t="shared" si="99"/>
        <v>1.3257237430459825</v>
      </c>
      <c r="AM89" s="25">
        <f t="shared" si="107"/>
        <v>3.114274344055898</v>
      </c>
      <c r="AN89" s="25">
        <f t="shared" si="108"/>
        <v>0.9842752126394219</v>
      </c>
      <c r="AO89" s="25">
        <f>1+0.015*AI89*AN89</f>
        <v>1.6936759431912312</v>
      </c>
      <c r="AP89" s="25">
        <f t="shared" si="100"/>
        <v>0.0015185104215838618</v>
      </c>
      <c r="AQ89" s="25">
        <f t="shared" si="109"/>
        <v>0.9962614909325695</v>
      </c>
      <c r="AR89" s="25">
        <f t="shared" si="110"/>
        <v>-5.280784967939705E-05</v>
      </c>
      <c r="AS89" s="10">
        <f>SQRT((AE89/AL89)^2+(AF89/AM89)^2+(AG89/AO89)^2+AR89*(AF89/AM89)*(AG89/AM89))</f>
        <v>28.686530834602475</v>
      </c>
      <c r="AT89" s="23"/>
      <c r="AU89" s="25"/>
      <c r="AV89" s="39"/>
      <c r="AW89" s="39"/>
      <c r="AX89" s="10"/>
    </row>
    <row r="90" spans="2:50" ht="12.75" hidden="1">
      <c r="B90" s="5" t="s">
        <v>44</v>
      </c>
      <c r="C90" s="3">
        <f t="shared" si="78"/>
        <v>0.3209</v>
      </c>
      <c r="D90" s="3">
        <f t="shared" si="78"/>
        <v>0.1542</v>
      </c>
      <c r="E90" s="3">
        <f t="shared" si="78"/>
        <v>0.2848</v>
      </c>
      <c r="F90" s="12">
        <f t="shared" si="79"/>
        <v>0.5926869001297017</v>
      </c>
      <c r="G90" s="12">
        <f t="shared" si="80"/>
        <v>0.2848</v>
      </c>
      <c r="H90" s="12">
        <f t="shared" si="81"/>
        <v>0.9694651102464333</v>
      </c>
      <c r="I90" s="12">
        <f t="shared" si="101"/>
        <v>0.6235816761837925</v>
      </c>
      <c r="J90" s="12">
        <f t="shared" si="101"/>
        <v>0.2848</v>
      </c>
      <c r="K90" s="12">
        <f t="shared" si="101"/>
        <v>0.8901870535056561</v>
      </c>
      <c r="L90" s="26">
        <f t="shared" si="82"/>
        <v>0.9504559270516716</v>
      </c>
      <c r="M90" s="14">
        <v>1</v>
      </c>
      <c r="N90" s="14">
        <f t="shared" si="83"/>
        <v>1.0890577507598784</v>
      </c>
      <c r="O90" s="12">
        <f t="shared" si="102"/>
        <v>0.8543407369333207</v>
      </c>
      <c r="P90" s="12">
        <f t="shared" si="102"/>
        <v>0.6579304626213448</v>
      </c>
      <c r="Q90" s="12">
        <f t="shared" si="102"/>
        <v>0.961967555201503</v>
      </c>
      <c r="R90" s="23">
        <f t="shared" si="103"/>
        <v>60.319933664076004</v>
      </c>
      <c r="S90" s="23">
        <f t="shared" si="104"/>
        <v>98.20513715598794</v>
      </c>
      <c r="T90" s="23">
        <f t="shared" si="105"/>
        <v>-60.80741851603164</v>
      </c>
      <c r="U90" s="25">
        <f t="shared" si="84"/>
        <v>115.50667128097075</v>
      </c>
      <c r="V90" s="25">
        <f t="shared" si="85"/>
        <v>73.6949636491119</v>
      </c>
      <c r="W90" s="25">
        <f t="shared" si="86"/>
        <v>94.60081746504133</v>
      </c>
      <c r="X90" s="25">
        <f t="shared" si="87"/>
        <v>2.2502280085490156E-05</v>
      </c>
      <c r="Y90" s="25">
        <f t="shared" si="88"/>
        <v>60.319933664076004</v>
      </c>
      <c r="Z90" s="25">
        <f t="shared" si="89"/>
        <v>98.20734699549006</v>
      </c>
      <c r="AA90" s="25">
        <f t="shared" si="90"/>
        <v>-60.80741851603164</v>
      </c>
      <c r="AB90" s="25">
        <f t="shared" si="91"/>
        <v>115.50855011849303</v>
      </c>
      <c r="AC90" s="38">
        <f t="shared" si="92"/>
        <v>328.23529257373707</v>
      </c>
      <c r="AD90" s="25">
        <f>IF(AV90=0,Y101-AC90,IF(AV90=1,Y101-AC90-360,Y101+360-AC90))</f>
        <v>3.7392510048795202</v>
      </c>
      <c r="AE90" s="25">
        <f t="shared" si="93"/>
        <v>-26.337048855336306</v>
      </c>
      <c r="AF90" s="25">
        <f t="shared" si="94"/>
        <v>-41.812294281543245</v>
      </c>
      <c r="AG90" s="25">
        <f t="shared" si="95"/>
        <v>6.0202522692509355</v>
      </c>
      <c r="AH90" s="25">
        <f t="shared" si="96"/>
        <v>47.15140923640785</v>
      </c>
      <c r="AI90" s="25">
        <f t="shared" si="97"/>
        <v>94.60240297772141</v>
      </c>
      <c r="AJ90" s="107">
        <f t="shared" si="98"/>
        <v>330.10491807617683</v>
      </c>
      <c r="AK90" s="38">
        <f t="shared" si="106"/>
        <v>8.114469338422504</v>
      </c>
      <c r="AL90" s="25">
        <f t="shared" si="99"/>
        <v>1.0229554831184933</v>
      </c>
      <c r="AM90" s="25">
        <f t="shared" si="107"/>
        <v>5.2571081339974635</v>
      </c>
      <c r="AN90" s="25">
        <f t="shared" si="108"/>
        <v>1.2704850465414206</v>
      </c>
      <c r="AO90" s="25">
        <f>1+0.015*AI90*AN90</f>
        <v>2.8028640752512093</v>
      </c>
      <c r="AP90" s="25">
        <f t="shared" si="100"/>
        <v>0.2328674637818584</v>
      </c>
      <c r="AQ90" s="25">
        <f t="shared" si="109"/>
        <v>0.9999888764377196</v>
      </c>
      <c r="AR90" s="25">
        <f t="shared" si="110"/>
        <v>-0.008128427994437535</v>
      </c>
      <c r="AS90" s="10">
        <f>SQRT((AE90/AL90)^2+(AF90/AM90)^2+(AG90/AO90)^2+AR90*(AF90/AM90)*(AG90/AM90))</f>
        <v>27.033380659456924</v>
      </c>
      <c r="AT90" s="23"/>
      <c r="AU90" s="25"/>
      <c r="AV90" s="39"/>
      <c r="AW90" s="39"/>
      <c r="AX90" s="10"/>
    </row>
    <row r="91" spans="2:50" ht="12.75" hidden="1">
      <c r="B91" s="5" t="s">
        <v>45</v>
      </c>
      <c r="C91" s="3">
        <f t="shared" si="78"/>
        <v>0.3127</v>
      </c>
      <c r="D91" s="4">
        <f t="shared" si="78"/>
        <v>0.329</v>
      </c>
      <c r="E91" s="4">
        <f t="shared" si="78"/>
        <v>1</v>
      </c>
      <c r="F91" s="14">
        <f t="shared" si="79"/>
        <v>0.9504559270516716</v>
      </c>
      <c r="G91" s="12">
        <f t="shared" si="80"/>
        <v>1</v>
      </c>
      <c r="H91" s="14">
        <f t="shared" si="81"/>
        <v>1.0890577507598784</v>
      </c>
      <c r="I91" s="12">
        <f aca="true" t="shared" si="111" ref="I91:K92">F91/L91</f>
        <v>1</v>
      </c>
      <c r="J91" s="12">
        <f t="shared" si="111"/>
        <v>1</v>
      </c>
      <c r="K91" s="12">
        <f t="shared" si="111"/>
        <v>1</v>
      </c>
      <c r="L91" s="26">
        <f t="shared" si="82"/>
        <v>0.9504559270516716</v>
      </c>
      <c r="M91" s="14">
        <v>1</v>
      </c>
      <c r="N91" s="14">
        <f t="shared" si="83"/>
        <v>1.0890577507598784</v>
      </c>
      <c r="O91" s="12">
        <f aca="true" t="shared" si="112" ref="O91:Q92">IF(I91&gt;0.008856,I91^(1/3),((903.3*I91)+16)/116)</f>
        <v>1</v>
      </c>
      <c r="P91" s="12">
        <f t="shared" si="112"/>
        <v>1</v>
      </c>
      <c r="Q91" s="12">
        <f t="shared" si="112"/>
        <v>1</v>
      </c>
      <c r="R91" s="23">
        <f t="shared" si="103"/>
        <v>100</v>
      </c>
      <c r="S91" s="23">
        <f t="shared" si="104"/>
        <v>0</v>
      </c>
      <c r="T91" s="23">
        <f t="shared" si="105"/>
        <v>0</v>
      </c>
      <c r="U91" s="25">
        <f t="shared" si="84"/>
        <v>0</v>
      </c>
      <c r="V91" s="25">
        <f t="shared" si="85"/>
        <v>5.694461698745948</v>
      </c>
      <c r="W91" s="25">
        <f t="shared" si="86"/>
        <v>2.847230849372974</v>
      </c>
      <c r="X91" s="25">
        <f t="shared" si="87"/>
        <v>0.4997507361481062</v>
      </c>
      <c r="Y91" s="25">
        <f>$R$91</f>
        <v>100</v>
      </c>
      <c r="Z91" s="25">
        <f>(1+$X91)*S91</f>
        <v>0</v>
      </c>
      <c r="AA91" s="25">
        <f>T91</f>
        <v>0</v>
      </c>
      <c r="AB91" s="25">
        <f t="shared" si="91"/>
        <v>0</v>
      </c>
      <c r="AC91" s="38">
        <f t="shared" si="92"/>
        <v>0</v>
      </c>
      <c r="AD91" s="25">
        <f>IF(AV91=0,Y102-AC91,IF(AV91=1,Y102-AC91-360,Y102+360-AC91))</f>
        <v>192.85251538708633</v>
      </c>
      <c r="AE91" s="25">
        <f t="shared" si="93"/>
        <v>0</v>
      </c>
      <c r="AF91" s="25">
        <f t="shared" si="94"/>
        <v>8.287959212979144</v>
      </c>
      <c r="AG91" s="25">
        <f t="shared" si="95"/>
        <v>0</v>
      </c>
      <c r="AH91" s="25">
        <f t="shared" si="96"/>
        <v>100</v>
      </c>
      <c r="AI91" s="25">
        <f t="shared" si="97"/>
        <v>4.143979606489572</v>
      </c>
      <c r="AJ91" s="107">
        <f t="shared" si="98"/>
        <v>96.42625769354316</v>
      </c>
      <c r="AK91" s="38">
        <f t="shared" si="106"/>
        <v>2500</v>
      </c>
      <c r="AL91" s="25">
        <f t="shared" si="99"/>
        <v>1.747017880833996</v>
      </c>
      <c r="AM91" s="25">
        <f t="shared" si="107"/>
        <v>1.1864790822920308</v>
      </c>
      <c r="AN91" s="25">
        <f t="shared" si="108"/>
        <v>0.675567039954367</v>
      </c>
      <c r="AO91" s="25">
        <f>1+0.015*AI91*AN91</f>
        <v>1.0419930405458113</v>
      </c>
      <c r="AP91" s="25">
        <f t="shared" si="100"/>
        <v>2.082885159305693E-21</v>
      </c>
      <c r="AQ91" s="25">
        <f t="shared" si="109"/>
        <v>0</v>
      </c>
      <c r="AR91" s="25">
        <f t="shared" si="110"/>
        <v>0</v>
      </c>
      <c r="AS91" s="10">
        <f>SQRT((AE91/AL91)^2+(AF91/AM91)^2+(AG91/AO91)^2+AR91*(AF91/AM91)*(AG91/AM91))</f>
        <v>6.985339511395794</v>
      </c>
      <c r="AT91" s="23"/>
      <c r="AU91" s="25"/>
      <c r="AV91" s="39"/>
      <c r="AW91" s="39"/>
      <c r="AX91" s="10"/>
    </row>
    <row r="92" spans="1:58" ht="12.75" hidden="1">
      <c r="A92" s="100"/>
      <c r="B92" s="101" t="s">
        <v>3</v>
      </c>
      <c r="C92" s="99">
        <f>G10</f>
        <v>0.64</v>
      </c>
      <c r="D92" s="102">
        <f>G11</f>
        <v>0.33</v>
      </c>
      <c r="E92" s="99">
        <f>G12</f>
        <v>0.2126</v>
      </c>
      <c r="F92" s="103">
        <f t="shared" si="79"/>
        <v>0.4123151515151515</v>
      </c>
      <c r="G92" s="104">
        <f t="shared" si="80"/>
        <v>0.2126</v>
      </c>
      <c r="H92" s="103">
        <f t="shared" si="81"/>
        <v>0.019327272727272707</v>
      </c>
      <c r="I92" s="104">
        <f t="shared" si="111"/>
        <v>0.43380775455223813</v>
      </c>
      <c r="J92" s="104">
        <f t="shared" si="111"/>
        <v>0.2126</v>
      </c>
      <c r="K92" s="104">
        <f t="shared" si="111"/>
        <v>0.017746784056022105</v>
      </c>
      <c r="L92" s="105">
        <f t="shared" si="82"/>
        <v>0.9504559270516716</v>
      </c>
      <c r="M92" s="103">
        <v>1</v>
      </c>
      <c r="N92" s="103">
        <f t="shared" si="83"/>
        <v>1.0890577507598784</v>
      </c>
      <c r="O92" s="104">
        <f t="shared" si="112"/>
        <v>0.7570056199269241</v>
      </c>
      <c r="P92" s="104">
        <f t="shared" si="112"/>
        <v>0.5968351878089867</v>
      </c>
      <c r="Q92" s="104">
        <f t="shared" si="112"/>
        <v>0.26083941745391553</v>
      </c>
      <c r="R92" s="106">
        <f t="shared" si="103"/>
        <v>53.23288178584245</v>
      </c>
      <c r="S92" s="106">
        <f t="shared" si="104"/>
        <v>80.08521605896868</v>
      </c>
      <c r="T92" s="106">
        <f t="shared" si="105"/>
        <v>67.19915407101423</v>
      </c>
      <c r="U92" s="106">
        <f t="shared" si="84"/>
        <v>104.54361835650995</v>
      </c>
      <c r="V92" s="107">
        <f>SQRT(S103^2+T103^2)</f>
        <v>109.24629223626516</v>
      </c>
      <c r="W92" s="107">
        <f>AVERAGE(U92:V92)</f>
        <v>106.89495529638756</v>
      </c>
      <c r="X92" s="107">
        <f t="shared" si="87"/>
        <v>9.567690843426124E-06</v>
      </c>
      <c r="Y92" s="107">
        <f>(R92+R103)/2</f>
        <v>54.7900292708481</v>
      </c>
      <c r="Z92" s="107">
        <f>(1+$X92)*S92</f>
        <v>80.08598228955707</v>
      </c>
      <c r="AA92" s="107">
        <f>T92</f>
        <v>67.19915407101423</v>
      </c>
      <c r="AB92" s="107">
        <f>SQRT(Z92^2+AA92^2)</f>
        <v>104.54420532551364</v>
      </c>
      <c r="AC92" s="108">
        <f>IF(AND(Z92=0,AA92=0),0,IF(AA92&gt;=0,DEGREES(ATAN2(Z92,AA92)),DEGREES(ATAN2(Z92,AA92))+360))</f>
        <v>39.999595226091266</v>
      </c>
      <c r="AD92" s="107">
        <f>IF(AV92=0,Y103-AC92,IF(AV92=1,Y103-AC92-360,Y103+360-AC92))</f>
        <v>-2.1316282072803006E-14</v>
      </c>
      <c r="AE92" s="107">
        <f>R103-R92</f>
        <v>3.1142949700113007</v>
      </c>
      <c r="AF92" s="107">
        <f>(X103-AB92)</f>
        <v>4.70270028331619</v>
      </c>
      <c r="AG92" s="107">
        <f>(2*SQRT(AB92*X103)*SIN(RADIANS(AD92/2)))</f>
        <v>-3.9759725854145296E-14</v>
      </c>
      <c r="AH92" s="107">
        <f>AVERAGE(Y92,U103)</f>
        <v>55.56860301335092</v>
      </c>
      <c r="AI92" s="107">
        <f>AVERAGE(AB92,X103)</f>
        <v>106.89555546717173</v>
      </c>
      <c r="AJ92" s="107">
        <f>AVERAGE(AC92,Y103)</f>
        <v>39.99959522609126</v>
      </c>
      <c r="AK92" s="108">
        <f>(Y92-50)^2</f>
        <v>22.9443804155816</v>
      </c>
      <c r="AL92" s="107">
        <f t="shared" si="99"/>
        <v>1.0525187550945474</v>
      </c>
      <c r="AM92" s="107">
        <f>1+0.045*AI92</f>
        <v>5.810299996022728</v>
      </c>
      <c r="AN92" s="112">
        <f>1-0.17*COS(RADIANS(AJ92-30))+0.24*COS(RADIANS(2*AJ92))+0.32*COS(RADIANS(3*AJ92+6))-0.2*COS(RADIANS(4*AJ92-63))</f>
        <v>0.7105438407794945</v>
      </c>
      <c r="AO92" s="107">
        <f>1+0.015*AI92*AN92</f>
        <v>2.1393096781585257</v>
      </c>
      <c r="AP92" s="107">
        <f>30*EXP(-1*((AJ92-275)/25)^2)</f>
        <v>1.2668600433318632E-37</v>
      </c>
      <c r="AQ92" s="107">
        <f t="shared" si="109"/>
        <v>0.9999776418564837</v>
      </c>
      <c r="AR92" s="107">
        <f>-SIN(RADIANS(2*AP92))*AQ92</f>
        <v>-4.4220769119789855E-39</v>
      </c>
      <c r="AS92" s="109">
        <f>SQRT((AE92/AL92)^2+(AF92/AM92)^2+(AG92/AO92)^2+AR92*(AF92/AM92)*(AG92/AM92))</f>
        <v>3.067598141843007</v>
      </c>
      <c r="AT92" s="23"/>
      <c r="AU92" s="25"/>
      <c r="AV92" s="39"/>
      <c r="AW92" s="39"/>
      <c r="AX92" s="10"/>
      <c r="AZ92" s="25"/>
      <c r="BA92" s="25"/>
      <c r="BB92" s="23"/>
      <c r="BC92" s="25"/>
      <c r="BD92" s="39"/>
      <c r="BE92" s="39"/>
      <c r="BF92" s="10"/>
    </row>
    <row r="93" spans="3:58" ht="12.75" hidden="1">
      <c r="C93" s="3"/>
      <c r="D93" s="4"/>
      <c r="E93" s="4"/>
      <c r="F93" s="14"/>
      <c r="G93" s="12"/>
      <c r="H93" s="14"/>
      <c r="I93" s="12"/>
      <c r="J93" s="12"/>
      <c r="K93" s="12"/>
      <c r="L93" s="26"/>
      <c r="M93" s="14"/>
      <c r="N93" s="14"/>
      <c r="O93" s="12"/>
      <c r="P93" s="12"/>
      <c r="Q93" s="12"/>
      <c r="R93" s="23"/>
      <c r="S93" s="23"/>
      <c r="T93" s="23"/>
      <c r="U93" s="23"/>
      <c r="V93" s="23"/>
      <c r="W93" s="23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38"/>
      <c r="AJ93" s="38"/>
      <c r="AK93" s="25"/>
      <c r="AL93" s="25"/>
      <c r="AM93" s="25"/>
      <c r="AN93" s="25"/>
      <c r="AO93" s="25"/>
      <c r="AP93" s="25"/>
      <c r="AQ93" s="25"/>
      <c r="AR93" s="25"/>
      <c r="AS93" s="38"/>
      <c r="AT93" s="25"/>
      <c r="AU93" s="25"/>
      <c r="AV93" s="25"/>
      <c r="AW93" s="25"/>
      <c r="AX93" s="25"/>
      <c r="AY93" s="25"/>
      <c r="AZ93" s="25"/>
      <c r="BA93" s="25"/>
      <c r="BB93" s="23"/>
      <c r="BC93" s="25"/>
      <c r="BD93" s="39"/>
      <c r="BE93" s="39"/>
      <c r="BF93" s="10"/>
    </row>
    <row r="94" spans="3:58" ht="12.75" hidden="1">
      <c r="C94" s="20" t="s">
        <v>126</v>
      </c>
      <c r="R94" s="23"/>
      <c r="S94" s="23"/>
      <c r="T94" s="23"/>
      <c r="U94" s="23"/>
      <c r="V94" s="23"/>
      <c r="W94" s="23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38"/>
      <c r="AJ94" s="38"/>
      <c r="AK94" s="25"/>
      <c r="AL94" s="25"/>
      <c r="AM94" s="25"/>
      <c r="AN94" s="25"/>
      <c r="AO94" t="s">
        <v>143</v>
      </c>
      <c r="AP94" s="25"/>
      <c r="AQ94" s="25"/>
      <c r="AR94" s="25"/>
      <c r="AS94" s="38"/>
      <c r="AT94" s="25"/>
      <c r="AU94" s="25"/>
      <c r="AV94" s="25"/>
      <c r="AW94" s="25"/>
      <c r="AX94" s="25"/>
      <c r="AY94" s="25"/>
      <c r="AZ94" s="25"/>
      <c r="BA94" s="25"/>
      <c r="BB94" s="23"/>
      <c r="BC94" s="25"/>
      <c r="BD94" s="39"/>
      <c r="BE94" s="39"/>
      <c r="BF94" s="10"/>
    </row>
    <row r="95" spans="3:60" ht="12.75" hidden="1">
      <c r="C95" s="2" t="s">
        <v>27</v>
      </c>
      <c r="D95" s="2" t="s">
        <v>28</v>
      </c>
      <c r="E95" s="2" t="s">
        <v>29</v>
      </c>
      <c r="F95" s="2" t="s">
        <v>52</v>
      </c>
      <c r="G95" s="2" t="s">
        <v>29</v>
      </c>
      <c r="H95" s="2" t="s">
        <v>53</v>
      </c>
      <c r="I95" s="2" t="s">
        <v>27</v>
      </c>
      <c r="J95" s="2" t="s">
        <v>28</v>
      </c>
      <c r="K95" s="2" t="s">
        <v>54</v>
      </c>
      <c r="L95" s="2" t="s">
        <v>58</v>
      </c>
      <c r="M95" s="2" t="s">
        <v>59</v>
      </c>
      <c r="N95" s="2" t="s">
        <v>60</v>
      </c>
      <c r="O95" s="2" t="s">
        <v>61</v>
      </c>
      <c r="P95" s="2" t="s">
        <v>62</v>
      </c>
      <c r="Q95" s="2" t="s">
        <v>63</v>
      </c>
      <c r="R95" s="21" t="s">
        <v>96</v>
      </c>
      <c r="S95" s="21" t="s">
        <v>97</v>
      </c>
      <c r="T95" s="21" t="s">
        <v>98</v>
      </c>
      <c r="U95" s="21" t="s">
        <v>103</v>
      </c>
      <c r="V95" s="21" t="s">
        <v>104</v>
      </c>
      <c r="W95" s="21" t="s">
        <v>105</v>
      </c>
      <c r="X95" s="21" t="s">
        <v>107</v>
      </c>
      <c r="Y95" s="21" t="s">
        <v>109</v>
      </c>
      <c r="Z95" s="25"/>
      <c r="AA95" s="25"/>
      <c r="AB95" s="25"/>
      <c r="AC95" s="25"/>
      <c r="AD95" s="25"/>
      <c r="AE95" s="25"/>
      <c r="AF95" s="25"/>
      <c r="AG95" s="25"/>
      <c r="AH95" s="25"/>
      <c r="AI95" s="38"/>
      <c r="AJ95" s="38"/>
      <c r="AK95" s="25"/>
      <c r="AL95" s="25"/>
      <c r="AM95" s="25"/>
      <c r="AN95" s="25"/>
      <c r="AO95" s="25"/>
      <c r="AP95" s="25"/>
      <c r="AQ95" s="25"/>
      <c r="AR95" s="25"/>
      <c r="AS95" s="38"/>
      <c r="AT95" s="25"/>
      <c r="AU95" s="25"/>
      <c r="AV95" s="25"/>
      <c r="AW95" s="25"/>
      <c r="AX95" s="25"/>
      <c r="AY95" s="25"/>
      <c r="AZ95" s="25"/>
      <c r="BA95" s="25"/>
      <c r="BB95" s="23"/>
      <c r="BC95" s="25"/>
      <c r="BD95" s="39"/>
      <c r="BE95" s="39"/>
      <c r="BF95" s="10"/>
      <c r="BG95" s="10"/>
      <c r="BH95" s="11"/>
    </row>
    <row r="96" spans="2:60" ht="12.75" hidden="1">
      <c r="B96" s="5" t="s">
        <v>40</v>
      </c>
      <c r="C96" s="3">
        <f>E17</f>
        <v>0.64</v>
      </c>
      <c r="D96" s="3">
        <f>E19</f>
        <v>0.331</v>
      </c>
      <c r="E96" s="3">
        <f>E23</f>
        <v>0.2198</v>
      </c>
      <c r="F96" s="26">
        <f aca="true" t="shared" si="113" ref="F96:F102">(C96*E96)/D96</f>
        <v>0.4249909365558912</v>
      </c>
      <c r="G96" s="14">
        <f aca="true" t="shared" si="114" ref="G96:G101">E96</f>
        <v>0.2198</v>
      </c>
      <c r="H96" s="14">
        <f aca="true" t="shared" si="115" ref="H96:H102">(1-C96-D96)*E96/D96</f>
        <v>0.0192574018126888</v>
      </c>
      <c r="I96" s="14">
        <f aca="true" t="shared" si="116" ref="I96:K101">F96/L96</f>
        <v>0.44714428566321784</v>
      </c>
      <c r="J96" s="14">
        <f t="shared" si="116"/>
        <v>0.2198</v>
      </c>
      <c r="K96" s="14">
        <f t="shared" si="116"/>
        <v>0.017682626838890915</v>
      </c>
      <c r="L96" s="26">
        <f aca="true" t="shared" si="117" ref="L96:L103">$F$91</f>
        <v>0.9504559270516716</v>
      </c>
      <c r="M96" s="14">
        <v>1</v>
      </c>
      <c r="N96" s="14">
        <f aca="true" t="shared" si="118" ref="N96:N103">$H$91</f>
        <v>1.0890577507598784</v>
      </c>
      <c r="O96" s="12">
        <f aca="true" t="shared" si="119" ref="O96:Q101">IF(I96&gt;0.008856,I96^(1/3),((903.3*I96)+16)/116)</f>
        <v>0.7646849832394207</v>
      </c>
      <c r="P96" s="12">
        <f t="shared" si="119"/>
        <v>0.6034980845586215</v>
      </c>
      <c r="Q96" s="12">
        <f t="shared" si="119"/>
        <v>0.2605247137146359</v>
      </c>
      <c r="R96" s="23">
        <f aca="true" t="shared" si="120" ref="R96:R102">116*P96-16</f>
        <v>54.005777808800104</v>
      </c>
      <c r="S96" s="24">
        <f aca="true" t="shared" si="121" ref="S96:S102">500*(O96-P96)</f>
        <v>80.59344934039959</v>
      </c>
      <c r="T96" s="25">
        <f aca="true" t="shared" si="122" ref="T96:T102">200*(P96-Q96)</f>
        <v>68.59467416879713</v>
      </c>
      <c r="U96" s="25">
        <f aca="true" t="shared" si="123" ref="U96:U102">R96</f>
        <v>54.005777808800104</v>
      </c>
      <c r="V96" s="25">
        <f aca="true" t="shared" si="124" ref="V96:V102">(1+$X85)*S96</f>
        <v>80.59431239787537</v>
      </c>
      <c r="W96" s="25">
        <f aca="true" t="shared" si="125" ref="W96:W102">T96</f>
        <v>68.59467416879713</v>
      </c>
      <c r="X96" s="38">
        <f aca="true" t="shared" si="126" ref="X96:X102">SQRT(V96^2+W96^2)</f>
        <v>105.83322973059913</v>
      </c>
      <c r="Y96" s="25">
        <f aca="true" t="shared" si="127" ref="Y96:Y102">IF(AND(V96=0,W96=0),0,IF(W96&gt;=0,DEGREES(ATAN2(V96,W96)),DEGREES(ATAN2(V96,W96))+360))</f>
        <v>40.401458631957006</v>
      </c>
      <c r="Z96" s="25"/>
      <c r="AA96" s="25"/>
      <c r="AB96" s="25"/>
      <c r="AC96" s="25"/>
      <c r="AD96" s="25"/>
      <c r="AE96" s="25"/>
      <c r="AF96" s="25"/>
      <c r="AG96" s="25"/>
      <c r="AH96" s="25"/>
      <c r="AI96" s="38"/>
      <c r="AJ96" s="38"/>
      <c r="AK96" s="25"/>
      <c r="AL96" s="25"/>
      <c r="AM96" s="25"/>
      <c r="AN96" s="25"/>
      <c r="AO96" s="25"/>
      <c r="AP96" s="25"/>
      <c r="AQ96" s="25"/>
      <c r="AR96" s="25"/>
      <c r="AS96" s="38"/>
      <c r="AT96" s="25"/>
      <c r="AU96" s="25"/>
      <c r="AV96" s="25"/>
      <c r="AW96" s="25"/>
      <c r="AX96" s="25"/>
      <c r="AY96" s="25"/>
      <c r="AZ96" s="25"/>
      <c r="BA96" s="25"/>
      <c r="BB96" s="23"/>
      <c r="BC96" s="25"/>
      <c r="BD96" s="39"/>
      <c r="BE96" s="39"/>
      <c r="BF96" s="10"/>
      <c r="BG96" s="10"/>
      <c r="BH96" s="11"/>
    </row>
    <row r="97" spans="2:60" ht="12.75" hidden="1">
      <c r="B97" s="5" t="s">
        <v>41</v>
      </c>
      <c r="C97" s="3">
        <f>G17</f>
        <v>0.266</v>
      </c>
      <c r="D97" s="3">
        <f>G19</f>
        <v>0.661</v>
      </c>
      <c r="E97" s="3">
        <f>G21/C21</f>
        <v>0.2043</v>
      </c>
      <c r="F97" s="12">
        <f t="shared" si="113"/>
        <v>0.08221452344931922</v>
      </c>
      <c r="G97" s="12">
        <f t="shared" si="114"/>
        <v>0.2043</v>
      </c>
      <c r="H97" s="12">
        <f t="shared" si="115"/>
        <v>0.022562632375189094</v>
      </c>
      <c r="I97" s="12">
        <f t="shared" si="116"/>
        <v>0.08650009022969628</v>
      </c>
      <c r="J97" s="12">
        <f t="shared" si="116"/>
        <v>0.2043</v>
      </c>
      <c r="K97" s="12">
        <f t="shared" si="116"/>
        <v>0.020717572010709496</v>
      </c>
      <c r="L97" s="26">
        <f t="shared" si="117"/>
        <v>0.9504559270516716</v>
      </c>
      <c r="M97" s="14">
        <v>1</v>
      </c>
      <c r="N97" s="14">
        <f t="shared" si="118"/>
        <v>1.0890577507598784</v>
      </c>
      <c r="O97" s="12">
        <f t="shared" si="119"/>
        <v>0.442254424866025</v>
      </c>
      <c r="P97" s="12">
        <f t="shared" si="119"/>
        <v>0.5889649572767098</v>
      </c>
      <c r="Q97" s="12">
        <f t="shared" si="119"/>
        <v>0.2746500099032503</v>
      </c>
      <c r="R97" s="23">
        <f t="shared" si="120"/>
        <v>52.319935044098344</v>
      </c>
      <c r="S97" s="23">
        <f t="shared" si="121"/>
        <v>-73.35526620534242</v>
      </c>
      <c r="T97" s="23">
        <f t="shared" si="122"/>
        <v>62.86298947469191</v>
      </c>
      <c r="U97" s="25">
        <f t="shared" si="123"/>
        <v>52.319935044098344</v>
      </c>
      <c r="V97" s="25">
        <f t="shared" si="124"/>
        <v>-73.35591114189349</v>
      </c>
      <c r="W97" s="25">
        <f t="shared" si="125"/>
        <v>62.86298947469191</v>
      </c>
      <c r="X97" s="38">
        <f t="shared" si="126"/>
        <v>96.60665166101451</v>
      </c>
      <c r="Y97" s="25">
        <f t="shared" si="127"/>
        <v>139.40478704341388</v>
      </c>
      <c r="Z97" s="25"/>
      <c r="AA97" s="25"/>
      <c r="AB97" s="25"/>
      <c r="AC97" s="25"/>
      <c r="AD97" s="25"/>
      <c r="AE97" s="25"/>
      <c r="AF97" s="25"/>
      <c r="AG97" s="25"/>
      <c r="AH97" s="25"/>
      <c r="AI97" s="38"/>
      <c r="AJ97" s="38"/>
      <c r="AK97" s="25"/>
      <c r="AL97" s="25"/>
      <c r="AM97" s="25"/>
      <c r="AN97" s="25"/>
      <c r="AO97" s="25"/>
      <c r="AP97" s="25"/>
      <c r="AQ97" s="25"/>
      <c r="AR97" s="25"/>
      <c r="AS97" s="38"/>
      <c r="AT97" s="25"/>
      <c r="AU97" s="25"/>
      <c r="AV97" s="25"/>
      <c r="AW97" s="25"/>
      <c r="AX97" s="25"/>
      <c r="AY97" s="25"/>
      <c r="AZ97" s="25"/>
      <c r="BA97" s="25"/>
      <c r="BB97" s="23"/>
      <c r="BC97" s="25"/>
      <c r="BD97" s="39"/>
      <c r="BE97" s="39"/>
      <c r="BF97" s="10"/>
      <c r="BG97" s="10"/>
      <c r="BH97" s="11"/>
    </row>
    <row r="98" spans="2:58" ht="12.75" hidden="1">
      <c r="B98" s="5" t="s">
        <v>42</v>
      </c>
      <c r="C98" s="3">
        <f>I17</f>
        <v>0.145</v>
      </c>
      <c r="D98" s="3">
        <f>I19</f>
        <v>0.067</v>
      </c>
      <c r="E98" s="3">
        <f>I21/C21</f>
        <v>0.022099999999999998</v>
      </c>
      <c r="F98" s="12">
        <f t="shared" si="113"/>
        <v>0.047828358208955216</v>
      </c>
      <c r="G98" s="12">
        <f t="shared" si="114"/>
        <v>0.022099999999999998</v>
      </c>
      <c r="H98" s="12">
        <f t="shared" si="115"/>
        <v>0.2599223880597014</v>
      </c>
      <c r="I98" s="12">
        <f t="shared" si="116"/>
        <v>0.05032148976893594</v>
      </c>
      <c r="J98" s="12">
        <f t="shared" si="116"/>
        <v>0.022099999999999998</v>
      </c>
      <c r="K98" s="12">
        <f t="shared" si="116"/>
        <v>0.23866722208105431</v>
      </c>
      <c r="L98" s="26">
        <f t="shared" si="117"/>
        <v>0.9504559270516716</v>
      </c>
      <c r="M98" s="14">
        <v>1</v>
      </c>
      <c r="N98" s="14">
        <f t="shared" si="118"/>
        <v>1.0890577507598784</v>
      </c>
      <c r="O98" s="12">
        <f t="shared" si="119"/>
        <v>0.3691910492154657</v>
      </c>
      <c r="P98" s="12">
        <f t="shared" si="119"/>
        <v>0.2806278428390438</v>
      </c>
      <c r="Q98" s="12">
        <f t="shared" si="119"/>
        <v>0.6202940177465036</v>
      </c>
      <c r="R98" s="23">
        <f t="shared" si="120"/>
        <v>16.55282976932908</v>
      </c>
      <c r="S98" s="23">
        <f t="shared" si="121"/>
        <v>44.28160318821095</v>
      </c>
      <c r="T98" s="23">
        <f t="shared" si="122"/>
        <v>-67.93323498149196</v>
      </c>
      <c r="U98" s="25">
        <f t="shared" si="123"/>
        <v>16.55282976932908</v>
      </c>
      <c r="V98" s="25">
        <f t="shared" si="124"/>
        <v>44.28201171875333</v>
      </c>
      <c r="W98" s="25">
        <f t="shared" si="125"/>
        <v>-67.93323498149196</v>
      </c>
      <c r="X98" s="38">
        <f t="shared" si="126"/>
        <v>81.09143590361693</v>
      </c>
      <c r="Y98" s="25">
        <f t="shared" si="127"/>
        <v>303.098160960956</v>
      </c>
      <c r="Z98" s="25"/>
      <c r="AA98" s="25"/>
      <c r="AB98" s="25"/>
      <c r="AC98" s="25"/>
      <c r="AD98" s="25"/>
      <c r="AE98" s="25"/>
      <c r="AF98" s="25"/>
      <c r="AG98" s="25"/>
      <c r="AH98" s="25"/>
      <c r="AI98" s="38"/>
      <c r="AJ98" s="38"/>
      <c r="AK98" s="25"/>
      <c r="AL98" s="25"/>
      <c r="AM98" s="25"/>
      <c r="AN98" s="25"/>
      <c r="AO98" s="25"/>
      <c r="AP98" s="25"/>
      <c r="AQ98" s="25"/>
      <c r="AR98" s="25"/>
      <c r="AS98" s="38"/>
      <c r="AT98" s="25"/>
      <c r="AU98" s="25"/>
      <c r="AV98" s="25"/>
      <c r="AW98" s="25"/>
      <c r="AX98" s="25"/>
      <c r="AY98" s="25"/>
      <c r="AZ98" s="25"/>
      <c r="BA98" s="25"/>
      <c r="BB98" s="23"/>
      <c r="BC98" s="25"/>
      <c r="BD98" s="39"/>
      <c r="BE98" s="39"/>
      <c r="BF98" s="10"/>
    </row>
    <row r="99" spans="2:58" ht="12.75" hidden="1">
      <c r="B99" s="5" t="s">
        <v>29</v>
      </c>
      <c r="C99" s="3">
        <f>K17</f>
        <v>0.439</v>
      </c>
      <c r="D99" s="3">
        <f>K19</f>
        <v>0.518</v>
      </c>
      <c r="E99" s="3">
        <f>K21/C21</f>
        <v>0.278</v>
      </c>
      <c r="F99" s="12">
        <f t="shared" si="113"/>
        <v>0.23560231660231662</v>
      </c>
      <c r="G99" s="12">
        <f t="shared" si="114"/>
        <v>0.278</v>
      </c>
      <c r="H99" s="12">
        <f t="shared" si="115"/>
        <v>0.02307722007722004</v>
      </c>
      <c r="I99" s="12">
        <f t="shared" si="116"/>
        <v>0.2478834734958816</v>
      </c>
      <c r="J99" s="12">
        <f t="shared" si="116"/>
        <v>0.278</v>
      </c>
      <c r="K99" s="12">
        <f t="shared" si="116"/>
        <v>0.02119007927827349</v>
      </c>
      <c r="L99" s="26">
        <f t="shared" si="117"/>
        <v>0.9504559270516716</v>
      </c>
      <c r="M99" s="14">
        <v>1</v>
      </c>
      <c r="N99" s="14">
        <f t="shared" si="118"/>
        <v>1.0890577507598784</v>
      </c>
      <c r="O99" s="12">
        <f t="shared" si="119"/>
        <v>0.6281777134211562</v>
      </c>
      <c r="P99" s="12">
        <f t="shared" si="119"/>
        <v>0.6526518879343751</v>
      </c>
      <c r="Q99" s="12">
        <f t="shared" si="119"/>
        <v>0.2767223223968006</v>
      </c>
      <c r="R99" s="23">
        <f t="shared" si="120"/>
        <v>59.70761900038751</v>
      </c>
      <c r="S99" s="23">
        <f t="shared" si="121"/>
        <v>-12.237087256609435</v>
      </c>
      <c r="T99" s="23">
        <f t="shared" si="122"/>
        <v>75.1859131075149</v>
      </c>
      <c r="U99" s="25">
        <f t="shared" si="123"/>
        <v>59.70761900038751</v>
      </c>
      <c r="V99" s="25">
        <f t="shared" si="124"/>
        <v>-12.237600240256842</v>
      </c>
      <c r="W99" s="25">
        <f t="shared" si="125"/>
        <v>75.1859131075149</v>
      </c>
      <c r="X99" s="38">
        <f t="shared" si="126"/>
        <v>76.17532664486</v>
      </c>
      <c r="Y99" s="25">
        <f t="shared" si="127"/>
        <v>99.24465246877052</v>
      </c>
      <c r="Z99" s="25"/>
      <c r="AA99" s="25"/>
      <c r="AB99" s="25"/>
      <c r="AC99" s="25"/>
      <c r="AD99" s="25"/>
      <c r="AE99" s="25"/>
      <c r="AF99" s="25"/>
      <c r="AG99" s="25"/>
      <c r="AH99" s="25"/>
      <c r="AI99" s="38"/>
      <c r="AJ99" s="38"/>
      <c r="AK99" s="25"/>
      <c r="AL99" s="25"/>
      <c r="AM99" s="25"/>
      <c r="AN99" s="25"/>
      <c r="AO99" s="25"/>
      <c r="AP99" s="25"/>
      <c r="AQ99" s="25"/>
      <c r="AR99" s="25"/>
      <c r="AS99" s="38"/>
      <c r="AT99" s="25"/>
      <c r="AU99" s="25"/>
      <c r="AV99" s="25"/>
      <c r="AW99" s="25"/>
      <c r="AX99" s="25"/>
      <c r="AY99" s="25"/>
      <c r="AZ99" s="25"/>
      <c r="BA99" s="25"/>
      <c r="BB99" s="23"/>
      <c r="BC99" s="25"/>
      <c r="BD99" s="39"/>
      <c r="BE99" s="39"/>
      <c r="BF99" s="10"/>
    </row>
    <row r="100" spans="2:57" ht="12.75" hidden="1">
      <c r="B100" s="5" t="s">
        <v>43</v>
      </c>
      <c r="C100" s="3">
        <f>M17</f>
        <v>0.197</v>
      </c>
      <c r="D100" s="3">
        <f>M19</f>
        <v>0.326</v>
      </c>
      <c r="E100" s="35">
        <f>M21/C21</f>
        <v>0.2122</v>
      </c>
      <c r="F100" s="12">
        <f t="shared" si="113"/>
        <v>0.1282312883435583</v>
      </c>
      <c r="G100" s="12">
        <f t="shared" si="114"/>
        <v>0.2122</v>
      </c>
      <c r="H100" s="12">
        <f t="shared" si="115"/>
        <v>0.3104889570552147</v>
      </c>
      <c r="I100" s="12">
        <f t="shared" si="116"/>
        <v>0.1349155544132737</v>
      </c>
      <c r="J100" s="12">
        <f t="shared" si="116"/>
        <v>0.2122</v>
      </c>
      <c r="K100" s="12">
        <f t="shared" si="116"/>
        <v>0.2850987074271996</v>
      </c>
      <c r="L100" s="26">
        <f t="shared" si="117"/>
        <v>0.9504559270516716</v>
      </c>
      <c r="M100" s="14">
        <v>1</v>
      </c>
      <c r="N100" s="14">
        <f t="shared" si="118"/>
        <v>1.0890577507598784</v>
      </c>
      <c r="O100" s="12">
        <f t="shared" si="119"/>
        <v>0.5128857987874115</v>
      </c>
      <c r="P100" s="12">
        <f t="shared" si="119"/>
        <v>0.5964606441349644</v>
      </c>
      <c r="Q100" s="12">
        <f t="shared" si="119"/>
        <v>0.6581604018151896</v>
      </c>
      <c r="R100" s="23">
        <f t="shared" si="120"/>
        <v>53.189434719655864</v>
      </c>
      <c r="S100" s="23">
        <f t="shared" si="121"/>
        <v>-41.78742267377644</v>
      </c>
      <c r="T100" s="23">
        <f t="shared" si="122"/>
        <v>-12.339951536045056</v>
      </c>
      <c r="U100" s="25">
        <f t="shared" si="123"/>
        <v>53.189434719655864</v>
      </c>
      <c r="V100" s="25">
        <f t="shared" si="124"/>
        <v>-41.914907197301496</v>
      </c>
      <c r="W100" s="25">
        <f t="shared" si="125"/>
        <v>-12.339951536045056</v>
      </c>
      <c r="X100" s="38">
        <f t="shared" si="126"/>
        <v>43.69363625598512</v>
      </c>
      <c r="Y100" s="25">
        <f t="shared" si="127"/>
        <v>196.4046839790116</v>
      </c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3"/>
      <c r="AT100" s="25"/>
      <c r="AU100" s="25"/>
      <c r="AV100" s="25"/>
      <c r="AW100" s="25"/>
      <c r="AX100" s="25"/>
      <c r="AY100" s="25"/>
      <c r="AZ100" s="25"/>
      <c r="BA100" s="25"/>
      <c r="BB100" s="23"/>
      <c r="BC100" s="25"/>
      <c r="BD100" s="10"/>
      <c r="BE100" s="16"/>
    </row>
    <row r="101" spans="2:57" ht="12.75" hidden="1">
      <c r="B101" s="5" t="s">
        <v>44</v>
      </c>
      <c r="C101" s="3">
        <f>O17</f>
        <v>0.344</v>
      </c>
      <c r="D101" s="3">
        <f>O19</f>
        <v>0.164</v>
      </c>
      <c r="E101" s="3">
        <f>O21/C21</f>
        <v>0.08</v>
      </c>
      <c r="F101" s="12">
        <f t="shared" si="113"/>
        <v>0.16780487804878047</v>
      </c>
      <c r="G101" s="12">
        <f t="shared" si="114"/>
        <v>0.08</v>
      </c>
      <c r="H101" s="12">
        <f t="shared" si="115"/>
        <v>0.24</v>
      </c>
      <c r="I101" s="12">
        <f t="shared" si="116"/>
        <v>0.17655198234105782</v>
      </c>
      <c r="J101" s="12">
        <f t="shared" si="116"/>
        <v>0.08</v>
      </c>
      <c r="K101" s="12">
        <f t="shared" si="116"/>
        <v>0.22037398827797933</v>
      </c>
      <c r="L101" s="26">
        <f t="shared" si="117"/>
        <v>0.9504559270516716</v>
      </c>
      <c r="M101" s="14">
        <v>1</v>
      </c>
      <c r="N101" s="14">
        <f t="shared" si="118"/>
        <v>1.0890577507598784</v>
      </c>
      <c r="O101" s="12">
        <f t="shared" si="119"/>
        <v>0.5609931169314232</v>
      </c>
      <c r="P101" s="12">
        <f t="shared" si="119"/>
        <v>0.43088693800637673</v>
      </c>
      <c r="Q101" s="12">
        <f t="shared" si="119"/>
        <v>0.6040229552460656</v>
      </c>
      <c r="R101" s="23">
        <f t="shared" si="120"/>
        <v>33.9828848087397</v>
      </c>
      <c r="S101" s="23">
        <f t="shared" si="121"/>
        <v>65.05308946252322</v>
      </c>
      <c r="T101" s="23">
        <f t="shared" si="122"/>
        <v>-34.62720344793778</v>
      </c>
      <c r="U101" s="25">
        <f t="shared" si="123"/>
        <v>33.9828848087397</v>
      </c>
      <c r="V101" s="25">
        <f t="shared" si="124"/>
        <v>65.05455330536273</v>
      </c>
      <c r="W101" s="25">
        <f t="shared" si="125"/>
        <v>-34.62720344793778</v>
      </c>
      <c r="X101" s="38">
        <f t="shared" si="126"/>
        <v>73.69625583694979</v>
      </c>
      <c r="Y101" s="25">
        <f t="shared" si="127"/>
        <v>331.9745435786166</v>
      </c>
      <c r="BD101" s="10"/>
      <c r="BE101" s="16"/>
    </row>
    <row r="102" spans="2:57" ht="12.75" hidden="1">
      <c r="B102" s="5" t="s">
        <v>45</v>
      </c>
      <c r="C102" s="3">
        <f>C17</f>
        <v>0.3027</v>
      </c>
      <c r="D102" s="3">
        <f>C19</f>
        <v>0.329</v>
      </c>
      <c r="E102" s="10">
        <v>1</v>
      </c>
      <c r="F102" s="14">
        <f t="shared" si="113"/>
        <v>0.9200607902735563</v>
      </c>
      <c r="G102" s="12">
        <f>E102</f>
        <v>1</v>
      </c>
      <c r="H102" s="14">
        <f t="shared" si="115"/>
        <v>1.1194528875379939</v>
      </c>
      <c r="I102" s="12">
        <f aca="true" t="shared" si="128" ref="I102:K103">F102/L102</f>
        <v>0.9680204669011834</v>
      </c>
      <c r="J102" s="12">
        <f t="shared" si="128"/>
        <v>1</v>
      </c>
      <c r="K102" s="12">
        <f t="shared" si="128"/>
        <v>1.0279095729835332</v>
      </c>
      <c r="L102" s="26">
        <f t="shared" si="117"/>
        <v>0.9504559270516716</v>
      </c>
      <c r="M102" s="14">
        <v>1</v>
      </c>
      <c r="N102" s="14">
        <f t="shared" si="118"/>
        <v>1.0890577507598784</v>
      </c>
      <c r="O102" s="12">
        <f aca="true" t="shared" si="129" ref="O102:Q103">IF(I102&gt;0.008856,I102^(1/3),((903.3*I102)+16)/116)</f>
        <v>0.9892244604382728</v>
      </c>
      <c r="P102" s="12">
        <f t="shared" si="129"/>
        <v>1</v>
      </c>
      <c r="Q102" s="12">
        <f t="shared" si="129"/>
        <v>1.0092179591381414</v>
      </c>
      <c r="R102" s="23">
        <f t="shared" si="120"/>
        <v>100</v>
      </c>
      <c r="S102" s="23">
        <f t="shared" si="121"/>
        <v>-5.387769780863582</v>
      </c>
      <c r="T102" s="23">
        <f t="shared" si="122"/>
        <v>-1.843591827628277</v>
      </c>
      <c r="U102" s="25">
        <f t="shared" si="123"/>
        <v>100</v>
      </c>
      <c r="V102" s="25">
        <f t="shared" si="124"/>
        <v>-8.080311695046678</v>
      </c>
      <c r="W102" s="25">
        <f t="shared" si="125"/>
        <v>-1.843591827628277</v>
      </c>
      <c r="X102" s="38">
        <f t="shared" si="126"/>
        <v>8.287959212979144</v>
      </c>
      <c r="Y102" s="25">
        <f t="shared" si="127"/>
        <v>192.85251538708633</v>
      </c>
      <c r="BD102" s="10"/>
      <c r="BE102" s="16"/>
    </row>
    <row r="103" spans="2:25" ht="12.75" hidden="1">
      <c r="B103" s="5" t="s">
        <v>4</v>
      </c>
      <c r="C103" s="3">
        <f>J10</f>
        <v>0.64</v>
      </c>
      <c r="D103" s="3">
        <f>J11</f>
        <v>0.33</v>
      </c>
      <c r="E103" s="3">
        <f>J12</f>
        <v>0.2426</v>
      </c>
      <c r="F103" s="14">
        <f>(C103*E103)/D103</f>
        <v>0.4704969696969697</v>
      </c>
      <c r="G103" s="12">
        <f>E103</f>
        <v>0.2426</v>
      </c>
      <c r="H103" s="14">
        <f>(1-C103-D103)*E103/D103</f>
        <v>0.022054545454545434</v>
      </c>
      <c r="I103" s="12">
        <f t="shared" si="128"/>
        <v>0.49502239536393683</v>
      </c>
      <c r="J103" s="12">
        <f t="shared" si="128"/>
        <v>0.2426</v>
      </c>
      <c r="K103" s="12">
        <f t="shared" si="128"/>
        <v>0.020251033922817324</v>
      </c>
      <c r="L103" s="26">
        <f t="shared" si="117"/>
        <v>0.9504559270516716</v>
      </c>
      <c r="M103" s="14">
        <v>1</v>
      </c>
      <c r="N103" s="14">
        <f t="shared" si="118"/>
        <v>1.0890577507598784</v>
      </c>
      <c r="O103" s="12">
        <f t="shared" si="129"/>
        <v>0.791057918973225</v>
      </c>
      <c r="P103" s="12">
        <f t="shared" si="129"/>
        <v>0.6236825582401185</v>
      </c>
      <c r="Q103" s="12">
        <f t="shared" si="129"/>
        <v>0.27257272776548375</v>
      </c>
      <c r="R103" s="23">
        <f>116*P103-16</f>
        <v>56.34717675585375</v>
      </c>
      <c r="S103" s="23">
        <f>500*(O103-P103)</f>
        <v>83.68768036655322</v>
      </c>
      <c r="T103" s="23">
        <f>200*(P103-Q103)</f>
        <v>70.22196609492696</v>
      </c>
      <c r="U103" s="25">
        <f>R103</f>
        <v>56.34717675585375</v>
      </c>
      <c r="V103" s="25">
        <f>(1+$X92)*S103</f>
        <v>83.68848106440637</v>
      </c>
      <c r="W103" s="25">
        <f>T103</f>
        <v>70.22196609492696</v>
      </c>
      <c r="X103" s="38">
        <f>SQRT(V103^2+W103^2)</f>
        <v>109.24690560882983</v>
      </c>
      <c r="Y103" s="25">
        <f>IF(AND(V103=0,W103=0),0,IF(W103&gt;=0,DEGREES(ATAN2(V103,W103)),DEGREES(ATAN2(V103,W103))+360))</f>
        <v>39.999595226091245</v>
      </c>
    </row>
    <row r="104" ht="12.75" hidden="1"/>
    <row r="105" spans="3:11" ht="12.75" hidden="1">
      <c r="C105" s="2" t="s">
        <v>27</v>
      </c>
      <c r="D105" s="2" t="s">
        <v>28</v>
      </c>
      <c r="E105" s="2" t="s">
        <v>29</v>
      </c>
      <c r="F105" s="2" t="s">
        <v>52</v>
      </c>
      <c r="G105" s="2" t="s">
        <v>29</v>
      </c>
      <c r="H105" s="2" t="s">
        <v>53</v>
      </c>
      <c r="I105" s="2" t="s">
        <v>40</v>
      </c>
      <c r="J105" s="2" t="s">
        <v>41</v>
      </c>
      <c r="K105" s="2" t="s">
        <v>42</v>
      </c>
    </row>
    <row r="106" spans="2:11" ht="12.75" hidden="1">
      <c r="B106" s="55" t="s">
        <v>40</v>
      </c>
      <c r="C106" s="3">
        <f>IF(B4="SMPTE-C",AR5,IF(B4="Rec. 709",AR15,IF(B4="PAL",AR25,IF(B4="Custom Gamut",I7,AR35))))</f>
        <v>0.64</v>
      </c>
      <c r="D106" s="3">
        <f>IF(B4="SMPTE-C",AS5,IF(B4="Rec. 709",AS15,IF(B4="PAL",AS25,IF(B4="Custom Gamut",B4,AS35))))</f>
        <v>0.33</v>
      </c>
      <c r="E106" s="3">
        <f>IF(B4="SMPTE-C",AT5,IF(B4="Rec. 709",AT15,IF(B4="PAL",AT25,IF(B4="Custom Gamut",B4,AT35))))</f>
        <v>0.2126</v>
      </c>
      <c r="F106" s="3">
        <f>(C106*E106)/D106</f>
        <v>0.4123151515151515</v>
      </c>
      <c r="G106" s="14">
        <f>E106</f>
        <v>0.2126</v>
      </c>
      <c r="H106" s="12">
        <f>(1-C106-D106)*E106/D106</f>
        <v>0.019327272727272707</v>
      </c>
      <c r="I106" s="11">
        <f>(F106*$E$113)+(G106*$E$114)+(H106*$E$115)</f>
        <v>1</v>
      </c>
      <c r="J106" s="11">
        <f>(F106*$F$113)+(G106*$F$114)+(H106*$F$115)</f>
        <v>6.613633252161577E-18</v>
      </c>
      <c r="K106" s="11">
        <f>(F106*$G$113)+(G106*$G$114)+(H106*$G$115)</f>
        <v>0</v>
      </c>
    </row>
    <row r="107" spans="2:11" ht="12.75" hidden="1">
      <c r="B107" s="55" t="s">
        <v>41</v>
      </c>
      <c r="C107" s="3">
        <f>IF(B4="SMPTE-C",AR6,IF(B4="Rec. 709",AR16,IF(B4="PAL",AR26,IF(B4="Custom Gamut",I8,AR36))))</f>
        <v>0.3</v>
      </c>
      <c r="D107" s="3">
        <f>IF(B4="SMPTE-C",AS6,IF(B4="Rec. 709",AS16,IF(B4="PAL",AS26,IF(B4="Custom Gamut",J8,AS36))))</f>
        <v>0.6</v>
      </c>
      <c r="E107" s="3">
        <f>IF(B4="SMPTE-C",AT6,IF(B4="Rec. 709",AT16,IF(B4="PAL",AT26,IF(B4="Custom Gamut",K8,AT36))))</f>
        <v>0.7152</v>
      </c>
      <c r="F107" s="3">
        <f>(C107*E107)/D107</f>
        <v>0.3576</v>
      </c>
      <c r="G107" s="14">
        <f>E107</f>
        <v>0.7152</v>
      </c>
      <c r="H107" s="12">
        <f>(1-C107-D107)*E107/D107</f>
        <v>0.11919999999999996</v>
      </c>
      <c r="I107" s="11">
        <f>(F107*$E$113)+(G107*$E$114)+(H107*$E$115)</f>
        <v>0</v>
      </c>
      <c r="J107" s="11">
        <f>(F107*$F$113)+(G107*$F$114)+(H107*$F$115)</f>
        <v>1</v>
      </c>
      <c r="K107" s="11">
        <f>(F107*$G$113)+(G107*$G$114)+(H107*$G$115)</f>
        <v>0</v>
      </c>
    </row>
    <row r="108" spans="2:11" ht="12.75" hidden="1">
      <c r="B108" s="55" t="s">
        <v>42</v>
      </c>
      <c r="C108" s="3">
        <f>IF(B4="SMPTE-C",AR7,IF(B4="Rec. 709",AR17,IF(B4="PAL",AR27,IF(B4="Custom Gamut",J9,AR37))))</f>
        <v>0.15</v>
      </c>
      <c r="D108" s="3">
        <f>IF(B4="SMPTE-C",AS7,IF(B4="Rec. 709",AS17,IF(B4="PAL",AS27,IF(B4="Custom Gamut",K9,AS37))))</f>
        <v>0.06</v>
      </c>
      <c r="E108" s="3">
        <f>IF(B4="SMPTE-C",AT7,IF(B4="Rec. 709",AT17,IF(B4="PAL",AT27,IF(B4="Custom Gamut",#REF!,AT37))))</f>
        <v>0.0722</v>
      </c>
      <c r="F108" s="3">
        <f>(C108*E108)/D108</f>
        <v>0.1805</v>
      </c>
      <c r="G108" s="14">
        <f>E108</f>
        <v>0.0722</v>
      </c>
      <c r="H108" s="12">
        <f>(1-C108-D108)*E108/D108</f>
        <v>0.9506333333333334</v>
      </c>
      <c r="I108" s="11">
        <f>(F108*$E$113)+(G108*$E$114)+(H108*$E$115)</f>
        <v>0</v>
      </c>
      <c r="J108" s="11">
        <f>(F108*$F$113)+(G108*$F$114)+(H108*$F$115)</f>
        <v>0</v>
      </c>
      <c r="K108" s="11">
        <f>(F108*$G$113)+(G108*$G$114)+(H108*$G$115)</f>
        <v>0.9999999999999999</v>
      </c>
    </row>
    <row r="109" spans="2:11" ht="12.75" hidden="1">
      <c r="B109" s="55" t="s">
        <v>45</v>
      </c>
      <c r="C109" s="3">
        <f>C17</f>
        <v>0.3027</v>
      </c>
      <c r="D109" s="3">
        <f>C19</f>
        <v>0.329</v>
      </c>
      <c r="E109" s="3">
        <v>1</v>
      </c>
      <c r="F109" s="3">
        <f>(C109*E109)/D109</f>
        <v>0.9200607902735563</v>
      </c>
      <c r="G109" s="14">
        <f>E109</f>
        <v>1</v>
      </c>
      <c r="H109" s="12">
        <f>(1-C109-D109)*E109/D109</f>
        <v>1.1194528875379939</v>
      </c>
      <c r="I109" s="11">
        <f>(F109*$E$113)+(G109*$E$114)+(H109*$E$115)</f>
        <v>0.8864975495573867</v>
      </c>
      <c r="J109" s="11">
        <f>(F109*$F$113)+(G109*$F$114)+(H109*$F$115)</f>
        <v>1.0306782253916789</v>
      </c>
      <c r="K109" s="11">
        <f>(F109*$G$113)+(G109*$G$114)+(H109*$G$115)</f>
        <v>1.0303262349580466</v>
      </c>
    </row>
    <row r="110" spans="3:11" ht="12.75" hidden="1">
      <c r="C110" s="3"/>
      <c r="D110" s="3"/>
      <c r="E110" s="3"/>
      <c r="F110" s="3"/>
      <c r="G110" s="14"/>
      <c r="H110" s="12"/>
      <c r="I110" s="11"/>
      <c r="J110" s="11"/>
      <c r="K110" s="11"/>
    </row>
    <row r="111" spans="3:11" ht="12.75" hidden="1">
      <c r="C111" s="3"/>
      <c r="H111" s="12"/>
      <c r="I111" s="11"/>
      <c r="J111" s="11"/>
      <c r="K111" s="11"/>
    </row>
    <row r="112" spans="3:11" ht="12.75" hidden="1">
      <c r="C112" s="3"/>
      <c r="E112" t="s">
        <v>40</v>
      </c>
      <c r="F112" t="s">
        <v>41</v>
      </c>
      <c r="G112" t="s">
        <v>42</v>
      </c>
      <c r="H112" s="12"/>
      <c r="I112" s="11"/>
      <c r="J112" s="11"/>
      <c r="K112" s="11"/>
    </row>
    <row r="113" spans="3:11" ht="12.75" hidden="1">
      <c r="C113" s="3"/>
      <c r="D113">
        <v>1</v>
      </c>
      <c r="E113">
        <f aca="true" t="array" ref="E113:G115">MINVERSE(F106:H108)</f>
        <v>3.2415645649389657</v>
      </c>
      <c r="F113">
        <v>-0.9692011895456548</v>
      </c>
      <c r="G113">
        <v>0.05562415868459993</v>
      </c>
      <c r="H113" s="12"/>
      <c r="I113" s="11"/>
      <c r="J113" s="11"/>
      <c r="K113" s="11"/>
    </row>
    <row r="114" spans="3:11" ht="12.75" hidden="1">
      <c r="C114" s="3"/>
      <c r="D114">
        <v>2</v>
      </c>
      <c r="E114">
        <v>-1.537665242342843</v>
      </c>
      <c r="F114">
        <v>1.8758853460074454</v>
      </c>
      <c r="G114">
        <v>-0.20395524851019955</v>
      </c>
      <c r="H114" s="12"/>
      <c r="I114" s="11"/>
      <c r="J114" s="11"/>
      <c r="K114" s="11"/>
    </row>
    <row r="115" spans="3:11" ht="12.75" hidden="1">
      <c r="C115" s="3"/>
      <c r="D115">
        <v>3</v>
      </c>
      <c r="E115">
        <v>-0.4987022407598407</v>
      </c>
      <c r="F115">
        <v>0.04155323755873607</v>
      </c>
      <c r="G115">
        <v>1.0568590150073978</v>
      </c>
      <c r="H115" s="12"/>
      <c r="I115" s="11"/>
      <c r="J115" s="11"/>
      <c r="K115" s="11"/>
    </row>
    <row r="116" spans="3:11" ht="12.75" hidden="1">
      <c r="C116" s="3"/>
      <c r="H116" s="12"/>
      <c r="I116" s="11"/>
      <c r="J116" s="11"/>
      <c r="K116" s="11"/>
    </row>
    <row r="117" spans="3:29" ht="12.75" hidden="1">
      <c r="C117" s="3"/>
      <c r="D117" s="2" t="s">
        <v>27</v>
      </c>
      <c r="E117" s="2" t="s">
        <v>28</v>
      </c>
      <c r="F117" s="2" t="s">
        <v>29</v>
      </c>
      <c r="G117" s="2" t="s">
        <v>52</v>
      </c>
      <c r="H117" s="2" t="s">
        <v>29</v>
      </c>
      <c r="I117" s="2" t="s">
        <v>53</v>
      </c>
      <c r="J117" s="2" t="s">
        <v>27</v>
      </c>
      <c r="K117" s="2" t="s">
        <v>28</v>
      </c>
      <c r="L117" s="2" t="s">
        <v>54</v>
      </c>
      <c r="M117" s="2" t="s">
        <v>58</v>
      </c>
      <c r="N117" s="2" t="s">
        <v>59</v>
      </c>
      <c r="O117" s="2" t="s">
        <v>60</v>
      </c>
      <c r="P117" s="2" t="s">
        <v>61</v>
      </c>
      <c r="Q117" s="2" t="s">
        <v>62</v>
      </c>
      <c r="R117" s="2" t="s">
        <v>63</v>
      </c>
      <c r="S117" s="2" t="s">
        <v>49</v>
      </c>
      <c r="T117" s="2" t="s">
        <v>55</v>
      </c>
      <c r="U117" s="2" t="s">
        <v>56</v>
      </c>
      <c r="V117" s="5" t="s">
        <v>64</v>
      </c>
      <c r="W117" s="2" t="s">
        <v>65</v>
      </c>
      <c r="X117" s="2" t="s">
        <v>66</v>
      </c>
      <c r="Y117" s="2" t="s">
        <v>67</v>
      </c>
      <c r="Z117" s="2" t="s">
        <v>68</v>
      </c>
      <c r="AA117" s="2" t="s">
        <v>49</v>
      </c>
      <c r="AB117" s="2" t="s">
        <v>69</v>
      </c>
      <c r="AC117" s="2" t="s">
        <v>70</v>
      </c>
    </row>
    <row r="118" spans="3:29" ht="12.75" hidden="1">
      <c r="C118" s="5" t="s">
        <v>3</v>
      </c>
      <c r="D118" s="3">
        <f>G10</f>
        <v>0.64</v>
      </c>
      <c r="E118" s="3">
        <f>G11</f>
        <v>0.33</v>
      </c>
      <c r="F118" s="3">
        <f>G12</f>
        <v>0.2126</v>
      </c>
      <c r="G118" s="3">
        <f>(D118*F118)/E118</f>
        <v>0.4123151515151515</v>
      </c>
      <c r="H118" s="3">
        <f>F118</f>
        <v>0.2126</v>
      </c>
      <c r="I118" s="3">
        <f>((1-D118-E118)*F118)/E118</f>
        <v>0.019327272727272707</v>
      </c>
      <c r="J118" s="14">
        <f aca="true" t="shared" si="130" ref="J118:L119">G118/M118</f>
        <v>0.43380775455223813</v>
      </c>
      <c r="K118" s="14">
        <f t="shared" si="130"/>
        <v>0.2126</v>
      </c>
      <c r="L118" s="12">
        <f t="shared" si="130"/>
        <v>0.017746784056022105</v>
      </c>
      <c r="M118" s="13">
        <f>$F$43</f>
        <v>0.9504559270516716</v>
      </c>
      <c r="N118" s="3">
        <v>1</v>
      </c>
      <c r="O118" s="3">
        <f>$H$43</f>
        <v>1.0890577507598784</v>
      </c>
      <c r="P118" s="14">
        <f aca="true" t="shared" si="131" ref="P118:R119">IF(J118&gt;0.008856,J118^(1/3),((903.3*J118)+16)/116)</f>
        <v>0.7570056199269241</v>
      </c>
      <c r="Q118" s="14">
        <f t="shared" si="131"/>
        <v>0.5968351878089867</v>
      </c>
      <c r="R118" s="14">
        <f t="shared" si="131"/>
        <v>0.26083941745391553</v>
      </c>
      <c r="S118" s="12">
        <f>116*Q118-16</f>
        <v>53.23288178584245</v>
      </c>
      <c r="T118" s="12">
        <f>500*(P118-Q118)</f>
        <v>80.08521605896868</v>
      </c>
      <c r="U118" s="12">
        <f>200*(Q118-R118)</f>
        <v>67.19915407101423</v>
      </c>
      <c r="V118" s="3">
        <f>H118/N118</f>
        <v>0.2126</v>
      </c>
      <c r="W118" s="3">
        <f>(4*M118)/(M118+15*N118+3*O118)</f>
        <v>0.19783000664283681</v>
      </c>
      <c r="X118" s="3">
        <f>(9*N118)/(M118+15*N118+3*O118)</f>
        <v>0.46831999493879106</v>
      </c>
      <c r="Y118" s="3">
        <f>(G118*4)/(G118+15*H118+3*I118)</f>
        <v>0.4507042253521127</v>
      </c>
      <c r="Z118" s="3">
        <f>(9*H118)/(G118+15*H118+3*I118)</f>
        <v>0.522887323943662</v>
      </c>
      <c r="AA118" s="98">
        <f>IF(V118&gt;0.008856,116*(H118)^(1/3)-16,903.3*V118)</f>
        <v>53.23288178584245</v>
      </c>
      <c r="AB118" s="99">
        <f>(13*AA118)*(Y118-W118)</f>
        <v>174.99590408609598</v>
      </c>
      <c r="AC118" s="99">
        <f>(13*AA118)*(Z118-X118)</f>
        <v>37.762090265711066</v>
      </c>
    </row>
    <row r="119" spans="3:29" ht="12.75" hidden="1">
      <c r="C119" t="s">
        <v>4</v>
      </c>
      <c r="D119" s="3">
        <f>J10</f>
        <v>0.64</v>
      </c>
      <c r="E119" s="3">
        <f>J11</f>
        <v>0.33</v>
      </c>
      <c r="F119" s="3">
        <f>J12</f>
        <v>0.2426</v>
      </c>
      <c r="G119" s="3">
        <f>(D119*F119)/E119</f>
        <v>0.4704969696969697</v>
      </c>
      <c r="H119" s="3">
        <f>F119</f>
        <v>0.2426</v>
      </c>
      <c r="I119" s="3">
        <f>((1-D119-E119)*F119)/E119</f>
        <v>0.022054545454545434</v>
      </c>
      <c r="J119" s="14">
        <f t="shared" si="130"/>
        <v>0.49502239536393683</v>
      </c>
      <c r="K119" s="14">
        <f t="shared" si="130"/>
        <v>0.2426</v>
      </c>
      <c r="L119" s="12">
        <f t="shared" si="130"/>
        <v>0.020251033922817324</v>
      </c>
      <c r="M119" s="13">
        <f>$F$43</f>
        <v>0.9504559270516716</v>
      </c>
      <c r="N119" s="3">
        <v>1</v>
      </c>
      <c r="O119" s="3">
        <f>$H$43</f>
        <v>1.0890577507598784</v>
      </c>
      <c r="P119" s="14">
        <f t="shared" si="131"/>
        <v>0.791057918973225</v>
      </c>
      <c r="Q119" s="14">
        <f t="shared" si="131"/>
        <v>0.6236825582401185</v>
      </c>
      <c r="R119" s="14">
        <f t="shared" si="131"/>
        <v>0.27257272776548375</v>
      </c>
      <c r="S119" s="12">
        <f>116*Q119-16</f>
        <v>56.34717675585375</v>
      </c>
      <c r="T119" s="12">
        <f>500*(P119-Q119)</f>
        <v>83.68768036655322</v>
      </c>
      <c r="U119" s="12">
        <f>200*(Q119-R119)</f>
        <v>70.22196609492696</v>
      </c>
      <c r="V119" s="3">
        <f>H119/N119</f>
        <v>0.2426</v>
      </c>
      <c r="W119" s="3">
        <f>(4*M119)/(M119+15*N119+3*O119)</f>
        <v>0.19783000664283681</v>
      </c>
      <c r="X119" s="3">
        <f>(9*N119)/(M119+15*N119+3*O119)</f>
        <v>0.46831999493879106</v>
      </c>
      <c r="Y119" s="3">
        <f>(G119*4)/(G119+15*H119+3*I119)</f>
        <v>0.4507042253521127</v>
      </c>
      <c r="Z119" s="3">
        <f>(9*H119)/(G119+15*H119+3*I119)</f>
        <v>0.5228873239436621</v>
      </c>
      <c r="AA119" s="98">
        <f>IF(V119&gt;0.008856,116*(H119)^(1/3)-16,903.3*V119)</f>
        <v>56.34717675585375</v>
      </c>
      <c r="AB119" s="99">
        <f>(13*AA119)*(Y119-W119)</f>
        <v>185.2337278819298</v>
      </c>
      <c r="AC119" s="99">
        <f>(13*AA119)*(Z119-X119)</f>
        <v>39.97129412291982</v>
      </c>
    </row>
    <row r="120" ht="12.75" hidden="1"/>
  </sheetData>
  <sheetProtection password="DFDF" sheet="1"/>
  <mergeCells count="4">
    <mergeCell ref="J15:L15"/>
    <mergeCell ref="A1:Q1"/>
    <mergeCell ref="B32:C32"/>
    <mergeCell ref="N9:O9"/>
  </mergeCells>
  <dataValidations count="1">
    <dataValidation type="list" allowBlank="1" showInputMessage="1" showErrorMessage="1" sqref="B4">
      <formula1>$AO$4:$AO$7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1" ht="12.75">
      <c r="A1" t="s">
        <v>26</v>
      </c>
      <c r="B1" t="s">
        <v>25</v>
      </c>
      <c r="C1" t="s">
        <v>24</v>
      </c>
      <c r="D1" t="s">
        <v>23</v>
      </c>
      <c r="E1" t="s">
        <v>22</v>
      </c>
      <c r="F1" t="s">
        <v>21</v>
      </c>
      <c r="G1" t="s">
        <v>20</v>
      </c>
      <c r="H1" t="s">
        <v>19</v>
      </c>
      <c r="I1" t="s">
        <v>18</v>
      </c>
      <c r="J1" t="s">
        <v>17</v>
      </c>
      <c r="K1" t="s">
        <v>16</v>
      </c>
      <c r="L1" t="s">
        <v>15</v>
      </c>
      <c r="M1" t="s">
        <v>14</v>
      </c>
      <c r="N1" t="s">
        <v>13</v>
      </c>
      <c r="O1" t="s">
        <v>12</v>
      </c>
      <c r="P1" t="s">
        <v>11</v>
      </c>
      <c r="Q1" t="s">
        <v>10</v>
      </c>
      <c r="R1" t="s">
        <v>9</v>
      </c>
      <c r="S1" t="s">
        <v>8</v>
      </c>
      <c r="T1" t="s">
        <v>7</v>
      </c>
      <c r="U1" t="s">
        <v>6</v>
      </c>
    </row>
    <row r="8" ht="12.75">
      <c r="A8" t="s">
        <v>135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huffman_t</dc:creator>
  <cp:keywords/>
  <dc:description/>
  <cp:lastModifiedBy>Tom</cp:lastModifiedBy>
  <dcterms:created xsi:type="dcterms:W3CDTF">2008-05-29T18:44:43Z</dcterms:created>
  <dcterms:modified xsi:type="dcterms:W3CDTF">2018-11-05T18:35:36Z</dcterms:modified>
  <cp:category/>
  <cp:version/>
  <cp:contentType/>
  <cp:contentStatus/>
</cp:coreProperties>
</file>